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1880" windowHeight="693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<sst xmlns="http://schemas.openxmlformats.org/spreadsheetml/2006/main" count="51" uniqueCount="51">
  <si>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Votre parcours de prédilection</t>
  </si>
  <si>
    <t>et vos allures d'endurence</t>
  </si>
  <si>
    <t>nombre de kms</t>
  </si>
  <si>
    <t>dénivellés positifs</t>
  </si>
  <si>
    <t>kms</t>
  </si>
  <si>
    <t>mètres</t>
  </si>
  <si>
    <t>votre VMA</t>
  </si>
  <si>
    <t>votre Va</t>
  </si>
  <si>
    <t>KM/H</t>
  </si>
  <si>
    <t>mètres/H</t>
  </si>
  <si>
    <t>(vitesse maximale sur 6 minutes)</t>
  </si>
  <si>
    <t>(vitesse ascentionnelle sur dénivellés+)</t>
  </si>
  <si>
    <t>(cumul des dénivellés +)</t>
  </si>
  <si>
    <t>Nom du parcours</t>
  </si>
  <si>
    <t>cross</t>
  </si>
  <si>
    <t>trail</t>
  </si>
  <si>
    <t>super trail</t>
  </si>
  <si>
    <t>semi trail</t>
  </si>
  <si>
    <t>ultra trail</t>
  </si>
  <si>
    <t>10kms</t>
  </si>
  <si>
    <t>semi</t>
  </si>
  <si>
    <t>marathon</t>
  </si>
  <si>
    <t>100kms</t>
  </si>
  <si>
    <t>autres</t>
  </si>
  <si>
    <t>% endurenceB</t>
  </si>
  <si>
    <t>% seuil -B</t>
  </si>
  <si>
    <t>% seuil +B</t>
  </si>
  <si>
    <t>KM/H endurenceB</t>
  </si>
  <si>
    <t>KM/H seuil -B</t>
  </si>
  <si>
    <t>KM/H seuil +B</t>
  </si>
  <si>
    <t>% endurenceroute</t>
  </si>
  <si>
    <t>% seuil -route</t>
  </si>
  <si>
    <t>% seuil +route</t>
  </si>
  <si>
    <t>KM/H endurenceroute</t>
  </si>
  <si>
    <t>KM/H seuil -route</t>
  </si>
  <si>
    <t>KM/H seuil +route</t>
  </si>
  <si>
    <t>oBjectifroute</t>
  </si>
  <si>
    <t>oBjectifB</t>
  </si>
  <si>
    <t>% oBjectifroute</t>
  </si>
  <si>
    <t>% oBjectifB</t>
  </si>
  <si>
    <t>KM/H oBjectifroute</t>
  </si>
  <si>
    <t>KM/H oBjectifB</t>
  </si>
  <si>
    <t>TEMPS endurenceroute</t>
  </si>
  <si>
    <t>TEMPS endurenceB</t>
  </si>
  <si>
    <t>TEMPS seuil -route</t>
  </si>
  <si>
    <t>TEMPS seuil -B</t>
  </si>
  <si>
    <t>TEMPS seuil +route</t>
  </si>
  <si>
    <t>TEMPS seuil +B</t>
  </si>
  <si>
    <t>TEMPS oBjectifroute</t>
  </si>
  <si>
    <t>TEMPS oBjectifB</t>
  </si>
  <si>
    <t>Pic Adam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</si>
</sst>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h]:mm:ss;@"/>
  </numFmts>
  <fonts count="6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5" fillId="2" borderId="3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0" fillId="0" borderId="0" xfId="0" applyAlignment="1">
      <alignment horizontal="center"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10" fontId="0" fillId="4" borderId="1" xfId="0" applyNumberFormat="1" applyFill="1" applyBorder="1" applyAlignment="1">
      <alignment horizontal="center"/>
    </xf>
    <xf numFmtId="0" fontId="0" fillId="3" borderId="8" xfId="0" applyFont="1" applyFill="1" applyBorder="1" applyAlignment="1">
      <alignment/>
    </xf>
    <xf numFmtId="0" fontId="0" fillId="3" borderId="9" xfId="0" applyFont="1" applyFill="1" applyBorder="1" applyAlignment="1">
      <alignment/>
    </xf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2" fontId="0" fillId="6" borderId="1" xfId="0" applyNumberFormat="1" applyFill="1" applyBorder="1" applyAlignment="1">
      <alignment horizontal="center"/>
    </xf>
    <xf numFmtId="2" fontId="0" fillId="6" borderId="8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0" fillId="0" borderId="0" xfId="0" applyNumberFormat="1" applyAlignment="1">
      <alignment/>
    </xf>
    <xf numFmtId="164" fontId="0" fillId="0" borderId="1" xfId="0" applyNumberFormat="1" applyBorder="1" applyAlignment="1">
      <alignment/>
    </xf>
    <xf numFmtId="21" fontId="0" fillId="0" borderId="0" xfId="0" applyNumberFormat="1" applyAlignment="1">
      <alignment/>
    </xf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5"/>
  <sheetViews>
    <sheetView tabSelected="1" workbookViewId="0" topLeftCell="A1">
      <selection activeCell="B9" sqref="B9"/>
    </sheetView>
  </sheetViews>
  <sheetFormatPr defaultColWidth="11.421875" defaultRowHeight="12.75"/>
  <cols>
    <col min="1" max="1" width="29.140625" style="0" customWidth="1"/>
    <col min="2" max="3" width="11.28125" style="0" customWidth="1"/>
    <col min="4" max="4" width="11.7109375" style="0" customWidth="1"/>
    <col min="7" max="17" width="11.421875" style="0" hidden="1" customWidth="1"/>
    <col min="18" max="20" width="0" style="0" hidden="1" customWidth="1"/>
  </cols>
  <sheetData>
    <row r="2" ht="18">
      <c r="B2" s="2" t="s">
        <v>0</v>
      </c>
    </row>
    <row r="3" ht="18">
      <c r="B3" s="2" t="s">
        <v>1</v>
      </c>
    </row>
    <row r="4" ht="7.5" customHeight="1">
      <c r="B4" s="1"/>
    </row>
    <row r="5" spans="1:5" ht="15">
      <c r="A5" s="3" t="s">
        <v>13</v>
      </c>
      <c r="B5" s="26" t="s">
        <v>50</v>
      </c>
      <c r="C5" s="27"/>
      <c r="D5" s="27"/>
      <c r="E5" s="27"/>
    </row>
    <row r="6" spans="1:6" ht="15">
      <c r="A6" s="4" t="s">
        <v>2</v>
      </c>
      <c r="B6" s="9">
        <v>21</v>
      </c>
      <c r="C6" s="16" t="s">
        <v>4</v>
      </c>
      <c r="D6" s="13"/>
      <c r="E6" s="13"/>
      <c r="F6" s="14"/>
    </row>
    <row r="7" spans="1:6" ht="15">
      <c r="A7" s="3" t="s">
        <v>3</v>
      </c>
      <c r="B7" s="8">
        <v>1000</v>
      </c>
      <c r="C7" s="16" t="s">
        <v>5</v>
      </c>
      <c r="D7" s="13" t="s">
        <v>12</v>
      </c>
      <c r="E7" s="13"/>
      <c r="F7" s="14"/>
    </row>
    <row r="8" spans="1:6" ht="15">
      <c r="A8" s="3" t="s">
        <v>6</v>
      </c>
      <c r="B8" s="8">
        <v>16.83</v>
      </c>
      <c r="C8" s="16" t="s">
        <v>8</v>
      </c>
      <c r="D8" s="13" t="s">
        <v>10</v>
      </c>
      <c r="E8" s="13"/>
      <c r="F8" s="14"/>
    </row>
    <row r="9" spans="1:6" ht="15">
      <c r="A9" s="5" t="s">
        <v>7</v>
      </c>
      <c r="B9" s="7">
        <v>1000</v>
      </c>
      <c r="C9" s="17" t="s">
        <v>9</v>
      </c>
      <c r="D9" s="11" t="s">
        <v>11</v>
      </c>
      <c r="E9" s="11"/>
      <c r="F9" s="12"/>
    </row>
    <row r="10" spans="1:11" ht="15">
      <c r="A10" s="6" t="s">
        <v>36</v>
      </c>
      <c r="B10" s="18">
        <f>IF(AND($B$6&lt;11,$B$7&lt;80),G10,0)</f>
        <v>0</v>
      </c>
      <c r="C10" s="18">
        <f>IF(AND($B$6&lt;23,$B$6&gt;10.9,$B$7&lt;160),H10,0)</f>
        <v>0</v>
      </c>
      <c r="D10" s="18">
        <f>IF(AND($B$6&lt;43,$B$6&gt;22.9,$B$7&lt;320),I10,0)</f>
        <v>0</v>
      </c>
      <c r="E10" s="18">
        <f>IF(AND($B$6&lt;101,$B$6&gt;42.9,$B$7&lt;600),J10,0)</f>
        <v>0</v>
      </c>
      <c r="F10" s="18">
        <f>IF(AND($B$6&gt;100.9,$B$7&lt;680),K10,0)</f>
        <v>0</v>
      </c>
      <c r="G10" s="10" t="s">
        <v>19</v>
      </c>
      <c r="H10" s="10" t="s">
        <v>20</v>
      </c>
      <c r="I10" s="10" t="s">
        <v>21</v>
      </c>
      <c r="J10" s="10" t="s">
        <v>22</v>
      </c>
      <c r="K10" s="10" t="s">
        <v>23</v>
      </c>
    </row>
    <row r="11" spans="1:11" ht="15">
      <c r="A11" s="3" t="s">
        <v>37</v>
      </c>
      <c r="B11" s="18">
        <f>IF(AND($B$6&lt;16,$B$7&gt;79),G11,0)</f>
        <v>0</v>
      </c>
      <c r="C11" s="18" t="str">
        <f>IF(AND($B$6&lt;22,$B$6&gt;15.9,$B$7&gt;159),H11,0)</f>
        <v>trail</v>
      </c>
      <c r="D11" s="18">
        <f>IF(AND($B$6&lt;45,$B$6&gt;21.9,$B$7&gt;319),I11,0)</f>
        <v>0</v>
      </c>
      <c r="E11" s="18">
        <f>IF(AND($B$6&lt;70,$B$6&gt;44.9,$B$7&gt;559),J11,0)</f>
        <v>0</v>
      </c>
      <c r="F11" s="18">
        <f>IF(AND($B$6&gt;69.9,$B$7&gt;679),K11,0)</f>
        <v>0</v>
      </c>
      <c r="G11" s="10" t="s">
        <v>14</v>
      </c>
      <c r="H11" s="10" t="s">
        <v>15</v>
      </c>
      <c r="I11" s="10" t="s">
        <v>16</v>
      </c>
      <c r="J11" s="10" t="s">
        <v>17</v>
      </c>
      <c r="K11" s="10" t="s">
        <v>18</v>
      </c>
    </row>
    <row r="12" spans="1:11" ht="15">
      <c r="A12" s="3" t="s">
        <v>30</v>
      </c>
      <c r="B12" s="15">
        <f>IF(B10=0,"",68%)</f>
      </c>
      <c r="C12" s="15">
        <f>IF(C10=0,"",66%)</f>
      </c>
      <c r="D12" s="15">
        <f>IF(D10=0,"",60%)</f>
      </c>
      <c r="E12" s="15">
        <f>IF(E10=0,"",43%)</f>
      </c>
      <c r="F12" s="15">
        <f>IF(F10=0,"",29%)</f>
      </c>
      <c r="G12">
        <f>+B8</f>
        <v>16.83</v>
      </c>
      <c r="H12">
        <f>+G12</f>
        <v>16.83</v>
      </c>
      <c r="I12">
        <f>+H12</f>
        <v>16.83</v>
      </c>
      <c r="J12">
        <f>+I12</f>
        <v>16.83</v>
      </c>
      <c r="K12">
        <f>+J12</f>
        <v>16.83</v>
      </c>
    </row>
    <row r="13" spans="1:11" ht="15">
      <c r="A13" s="3" t="s">
        <v>24</v>
      </c>
      <c r="B13" s="15">
        <f>IF(B11=0,"",60%)</f>
      </c>
      <c r="C13" s="15">
        <f>IF(C11=0,"",45%)</f>
        <v>0.45</v>
      </c>
      <c r="D13" s="15">
        <f>IF(D11=0,"",45%)</f>
      </c>
      <c r="E13" s="15">
        <f>IF(E11=0,"",34%)</f>
      </c>
      <c r="F13" s="15">
        <f>IF(F11=0,"",30%)</f>
      </c>
      <c r="G13">
        <f aca="true" t="shared" si="0" ref="G13:H19">+G12</f>
        <v>16.83</v>
      </c>
      <c r="H13">
        <f t="shared" si="0"/>
        <v>16.83</v>
      </c>
      <c r="I13">
        <f aca="true" t="shared" si="1" ref="I13:K19">+I12</f>
        <v>16.83</v>
      </c>
      <c r="J13">
        <f t="shared" si="1"/>
        <v>16.83</v>
      </c>
      <c r="K13">
        <f t="shared" si="1"/>
        <v>16.83</v>
      </c>
    </row>
    <row r="14" spans="1:11" ht="15">
      <c r="A14" s="3" t="s">
        <v>31</v>
      </c>
      <c r="B14" s="15">
        <f>IF(B10=0,"",88%)</f>
      </c>
      <c r="C14" s="15">
        <f>IF(C10=0,"",83%)</f>
      </c>
      <c r="D14" s="15">
        <f>IF(D10=0,"",74%)</f>
      </c>
      <c r="E14" s="15">
        <f>IF(E10=0,"",57%)</f>
      </c>
      <c r="F14" s="15">
        <f>IF(F10=0,"",44%)</f>
      </c>
      <c r="G14">
        <f t="shared" si="0"/>
        <v>16.83</v>
      </c>
      <c r="H14">
        <f t="shared" si="0"/>
        <v>16.83</v>
      </c>
      <c r="I14">
        <f t="shared" si="1"/>
        <v>16.83</v>
      </c>
      <c r="J14">
        <f t="shared" si="1"/>
        <v>16.83</v>
      </c>
      <c r="K14">
        <f t="shared" si="1"/>
        <v>16.83</v>
      </c>
    </row>
    <row r="15" spans="1:11" ht="15">
      <c r="A15" s="3" t="s">
        <v>25</v>
      </c>
      <c r="B15" s="15">
        <f>IF(B11=0,"",80%)</f>
      </c>
      <c r="C15" s="15">
        <f>IF(C11=0,"",48%)</f>
        <v>0.48</v>
      </c>
      <c r="D15" s="15">
        <f>IF(D11=0,"",52%)</f>
      </c>
      <c r="E15" s="15">
        <f>IF(E11=0,"",38%)</f>
      </c>
      <c r="F15" s="15">
        <f>IF(F11=0,"",40%)</f>
      </c>
      <c r="G15">
        <f t="shared" si="0"/>
        <v>16.83</v>
      </c>
      <c r="H15">
        <f t="shared" si="0"/>
        <v>16.83</v>
      </c>
      <c r="I15">
        <f t="shared" si="1"/>
        <v>16.83</v>
      </c>
      <c r="J15">
        <f t="shared" si="1"/>
        <v>16.83</v>
      </c>
      <c r="K15">
        <f t="shared" si="1"/>
        <v>16.83</v>
      </c>
    </row>
    <row r="16" spans="1:11" ht="15">
      <c r="A16" s="3" t="s">
        <v>32</v>
      </c>
      <c r="B16" s="15">
        <f>IF(B10=0,"",90%)</f>
      </c>
      <c r="C16" s="15">
        <f>IF(C10=0,"",86%)</f>
      </c>
      <c r="D16" s="15">
        <f>IF(D10=0,"",81%)</f>
      </c>
      <c r="E16" s="15">
        <f>IF(E10=0,"",66%)</f>
      </c>
      <c r="F16" s="15">
        <f>IF(F10=0,"",55%)</f>
      </c>
      <c r="G16">
        <f t="shared" si="0"/>
        <v>16.83</v>
      </c>
      <c r="H16">
        <f t="shared" si="0"/>
        <v>16.83</v>
      </c>
      <c r="I16">
        <f t="shared" si="1"/>
        <v>16.83</v>
      </c>
      <c r="J16">
        <f t="shared" si="1"/>
        <v>16.83</v>
      </c>
      <c r="K16">
        <f t="shared" si="1"/>
        <v>16.83</v>
      </c>
    </row>
    <row r="17" spans="1:11" ht="15">
      <c r="A17" s="3" t="s">
        <v>26</v>
      </c>
      <c r="B17" s="15">
        <f>IF(B11=0,"",85%)</f>
      </c>
      <c r="C17" s="15">
        <f>IF(C11=0,"",73%)</f>
        <v>0.73</v>
      </c>
      <c r="D17" s="15">
        <f>IF(D11=0,"",62%)</f>
      </c>
      <c r="E17" s="15">
        <f>IF(E11=0,"",57%)</f>
      </c>
      <c r="F17" s="15">
        <f>IF(F11=0,"",50%)</f>
      </c>
      <c r="G17">
        <f t="shared" si="0"/>
        <v>16.83</v>
      </c>
      <c r="H17">
        <f t="shared" si="0"/>
        <v>16.83</v>
      </c>
      <c r="I17">
        <f t="shared" si="1"/>
        <v>16.83</v>
      </c>
      <c r="J17">
        <f t="shared" si="1"/>
        <v>16.83</v>
      </c>
      <c r="K17">
        <f t="shared" si="1"/>
        <v>16.83</v>
      </c>
    </row>
    <row r="18" spans="1:11" ht="15">
      <c r="A18" s="3" t="s">
        <v>38</v>
      </c>
      <c r="B18" s="15">
        <f>IF(B10=0,"",92%)</f>
      </c>
      <c r="C18" s="15">
        <f>IF(C10=0,"",88%)</f>
      </c>
      <c r="D18" s="15">
        <f>IF(D10=0,"",83%)</f>
      </c>
      <c r="E18" s="15">
        <f>IF(E10=0,"",68%)</f>
      </c>
      <c r="F18" s="15">
        <f>IF(F10=0,"",57%)</f>
      </c>
      <c r="G18">
        <f t="shared" si="0"/>
        <v>16.83</v>
      </c>
      <c r="H18">
        <f t="shared" si="0"/>
        <v>16.83</v>
      </c>
      <c r="I18">
        <f t="shared" si="1"/>
        <v>16.83</v>
      </c>
      <c r="J18">
        <f t="shared" si="1"/>
        <v>16.83</v>
      </c>
      <c r="K18">
        <f t="shared" si="1"/>
        <v>16.83</v>
      </c>
    </row>
    <row r="19" spans="1:11" ht="15">
      <c r="A19" s="3" t="s">
        <v>39</v>
      </c>
      <c r="B19" s="15">
        <f>IF(B11=0,"",88%)</f>
      </c>
      <c r="C19" s="15">
        <f>IF(C11=0,"",75%)</f>
        <v>0.75</v>
      </c>
      <c r="D19" s="15">
        <f>IF(D11=0,"",66%)</f>
      </c>
      <c r="E19" s="15">
        <f>IF(E11=0,"",58%)</f>
      </c>
      <c r="F19" s="15">
        <f>IF(F11=0,"",60%)</f>
      </c>
      <c r="G19">
        <f t="shared" si="0"/>
        <v>16.83</v>
      </c>
      <c r="H19">
        <f t="shared" si="0"/>
        <v>16.83</v>
      </c>
      <c r="I19">
        <f t="shared" si="1"/>
        <v>16.83</v>
      </c>
      <c r="J19">
        <f t="shared" si="1"/>
        <v>16.83</v>
      </c>
      <c r="K19">
        <f t="shared" si="1"/>
        <v>16.83</v>
      </c>
    </row>
    <row r="20" spans="1:16" ht="15">
      <c r="A20" s="3" t="s">
        <v>33</v>
      </c>
      <c r="B20" s="19">
        <f>IF(B12="",0,G12*B12)</f>
        <v>0</v>
      </c>
      <c r="C20" s="20">
        <f>IF(C12="",0,H12*C12)</f>
        <v>0</v>
      </c>
      <c r="D20" s="20">
        <f aca="true" t="shared" si="2" ref="D20:F27">IF(D12="",0,I12*D12)</f>
        <v>0</v>
      </c>
      <c r="E20" s="20">
        <f t="shared" si="2"/>
        <v>0</v>
      </c>
      <c r="F20" s="21">
        <f t="shared" si="2"/>
        <v>0</v>
      </c>
      <c r="G20" s="22">
        <f>+B6-(B7/167)</f>
        <v>15.011976047904191</v>
      </c>
      <c r="H20" s="23">
        <f>+G20</f>
        <v>15.011976047904191</v>
      </c>
      <c r="I20" s="23">
        <f>+H20</f>
        <v>15.011976047904191</v>
      </c>
      <c r="J20" s="23">
        <f>+I20</f>
        <v>15.011976047904191</v>
      </c>
      <c r="K20" s="23">
        <f>+J20</f>
        <v>15.011976047904191</v>
      </c>
      <c r="L20" s="23">
        <f>+B7</f>
        <v>1000</v>
      </c>
      <c r="M20" s="23">
        <f aca="true" t="shared" si="3" ref="M20:P27">+L20</f>
        <v>1000</v>
      </c>
      <c r="N20" s="23">
        <f t="shared" si="3"/>
        <v>1000</v>
      </c>
      <c r="O20" s="23">
        <f t="shared" si="3"/>
        <v>1000</v>
      </c>
      <c r="P20" s="23">
        <f t="shared" si="3"/>
        <v>1000</v>
      </c>
    </row>
    <row r="21" spans="1:16" ht="15">
      <c r="A21" s="3" t="s">
        <v>27</v>
      </c>
      <c r="B21" s="19">
        <f aca="true" t="shared" si="4" ref="B21:B27">IF(B13="",0,G13*B13)</f>
        <v>0</v>
      </c>
      <c r="C21" s="20">
        <f aca="true" t="shared" si="5" ref="C21:C27">IF(C13="",0,H13*C13)</f>
        <v>7.573499999999999</v>
      </c>
      <c r="D21" s="20">
        <f t="shared" si="2"/>
        <v>0</v>
      </c>
      <c r="E21" s="20">
        <f t="shared" si="2"/>
        <v>0</v>
      </c>
      <c r="F21" s="20">
        <f t="shared" si="2"/>
        <v>0</v>
      </c>
      <c r="G21" s="23">
        <f>+G20</f>
        <v>15.011976047904191</v>
      </c>
      <c r="H21" s="23">
        <f aca="true" t="shared" si="6" ref="H21:K27">+G21</f>
        <v>15.011976047904191</v>
      </c>
      <c r="I21" s="23">
        <f t="shared" si="6"/>
        <v>15.011976047904191</v>
      </c>
      <c r="J21" s="23">
        <f t="shared" si="6"/>
        <v>15.011976047904191</v>
      </c>
      <c r="K21" s="23">
        <f t="shared" si="6"/>
        <v>15.011976047904191</v>
      </c>
      <c r="L21" s="23">
        <f>+L20</f>
        <v>1000</v>
      </c>
      <c r="M21" s="23">
        <f t="shared" si="3"/>
        <v>1000</v>
      </c>
      <c r="N21" s="23">
        <f t="shared" si="3"/>
        <v>1000</v>
      </c>
      <c r="O21" s="23">
        <f t="shared" si="3"/>
        <v>1000</v>
      </c>
      <c r="P21" s="23">
        <f t="shared" si="3"/>
        <v>1000</v>
      </c>
    </row>
    <row r="22" spans="1:16" ht="15">
      <c r="A22" s="3" t="s">
        <v>34</v>
      </c>
      <c r="B22" s="19">
        <f t="shared" si="4"/>
        <v>0</v>
      </c>
      <c r="C22" s="20">
        <f t="shared" si="5"/>
        <v>0</v>
      </c>
      <c r="D22" s="20">
        <f t="shared" si="2"/>
        <v>0</v>
      </c>
      <c r="E22" s="20">
        <f t="shared" si="2"/>
        <v>0</v>
      </c>
      <c r="F22" s="20">
        <f t="shared" si="2"/>
        <v>0</v>
      </c>
      <c r="G22" s="23">
        <f aca="true" t="shared" si="7" ref="G22:G27">+G21</f>
        <v>15.011976047904191</v>
      </c>
      <c r="H22" s="23">
        <f t="shared" si="6"/>
        <v>15.011976047904191</v>
      </c>
      <c r="I22" s="23">
        <f t="shared" si="6"/>
        <v>15.011976047904191</v>
      </c>
      <c r="J22" s="23">
        <f t="shared" si="6"/>
        <v>15.011976047904191</v>
      </c>
      <c r="K22" s="23">
        <f t="shared" si="6"/>
        <v>15.011976047904191</v>
      </c>
      <c r="L22" s="23">
        <f aca="true" t="shared" si="8" ref="L22:L27">+L21</f>
        <v>1000</v>
      </c>
      <c r="M22" s="23">
        <f t="shared" si="3"/>
        <v>1000</v>
      </c>
      <c r="N22" s="23">
        <f t="shared" si="3"/>
        <v>1000</v>
      </c>
      <c r="O22" s="23">
        <f t="shared" si="3"/>
        <v>1000</v>
      </c>
      <c r="P22" s="23">
        <f t="shared" si="3"/>
        <v>1000</v>
      </c>
    </row>
    <row r="23" spans="1:16" ht="15">
      <c r="A23" s="3" t="s">
        <v>28</v>
      </c>
      <c r="B23" s="19">
        <f t="shared" si="4"/>
        <v>0</v>
      </c>
      <c r="C23" s="20">
        <f t="shared" si="5"/>
        <v>8.078399999999998</v>
      </c>
      <c r="D23" s="20">
        <f t="shared" si="2"/>
        <v>0</v>
      </c>
      <c r="E23" s="20">
        <f t="shared" si="2"/>
        <v>0</v>
      </c>
      <c r="F23" s="20">
        <f t="shared" si="2"/>
        <v>0</v>
      </c>
      <c r="G23" s="23">
        <f t="shared" si="7"/>
        <v>15.011976047904191</v>
      </c>
      <c r="H23" s="23">
        <f t="shared" si="6"/>
        <v>15.011976047904191</v>
      </c>
      <c r="I23" s="23">
        <f t="shared" si="6"/>
        <v>15.011976047904191</v>
      </c>
      <c r="J23" s="23">
        <f t="shared" si="6"/>
        <v>15.011976047904191</v>
      </c>
      <c r="K23" s="23">
        <f t="shared" si="6"/>
        <v>15.011976047904191</v>
      </c>
      <c r="L23" s="23">
        <f t="shared" si="8"/>
        <v>1000</v>
      </c>
      <c r="M23" s="23">
        <f t="shared" si="3"/>
        <v>1000</v>
      </c>
      <c r="N23" s="23">
        <f t="shared" si="3"/>
        <v>1000</v>
      </c>
      <c r="O23" s="23">
        <f t="shared" si="3"/>
        <v>1000</v>
      </c>
      <c r="P23" s="23">
        <f t="shared" si="3"/>
        <v>1000</v>
      </c>
    </row>
    <row r="24" spans="1:16" ht="15">
      <c r="A24" s="3" t="s">
        <v>35</v>
      </c>
      <c r="B24" s="19">
        <f t="shared" si="4"/>
        <v>0</v>
      </c>
      <c r="C24" s="20">
        <f t="shared" si="5"/>
        <v>0</v>
      </c>
      <c r="D24" s="20">
        <f t="shared" si="2"/>
        <v>0</v>
      </c>
      <c r="E24" s="20">
        <f t="shared" si="2"/>
        <v>0</v>
      </c>
      <c r="F24" s="20">
        <f t="shared" si="2"/>
        <v>0</v>
      </c>
      <c r="G24" s="23">
        <f t="shared" si="7"/>
        <v>15.011976047904191</v>
      </c>
      <c r="H24" s="23">
        <f t="shared" si="6"/>
        <v>15.011976047904191</v>
      </c>
      <c r="I24" s="23">
        <f t="shared" si="6"/>
        <v>15.011976047904191</v>
      </c>
      <c r="J24" s="23">
        <f t="shared" si="6"/>
        <v>15.011976047904191</v>
      </c>
      <c r="K24" s="23">
        <f t="shared" si="6"/>
        <v>15.011976047904191</v>
      </c>
      <c r="L24" s="23">
        <f t="shared" si="8"/>
        <v>1000</v>
      </c>
      <c r="M24" s="23">
        <f t="shared" si="3"/>
        <v>1000</v>
      </c>
      <c r="N24" s="23">
        <f t="shared" si="3"/>
        <v>1000</v>
      </c>
      <c r="O24" s="23">
        <f t="shared" si="3"/>
        <v>1000</v>
      </c>
      <c r="P24" s="23">
        <f t="shared" si="3"/>
        <v>1000</v>
      </c>
    </row>
    <row r="25" spans="1:16" ht="15">
      <c r="A25" s="3" t="s">
        <v>29</v>
      </c>
      <c r="B25" s="19">
        <f t="shared" si="4"/>
        <v>0</v>
      </c>
      <c r="C25" s="20">
        <f t="shared" si="5"/>
        <v>12.285899999999998</v>
      </c>
      <c r="D25" s="20">
        <f t="shared" si="2"/>
        <v>0</v>
      </c>
      <c r="E25" s="20">
        <f t="shared" si="2"/>
        <v>0</v>
      </c>
      <c r="F25" s="20">
        <f t="shared" si="2"/>
        <v>0</v>
      </c>
      <c r="G25" s="23">
        <f t="shared" si="7"/>
        <v>15.011976047904191</v>
      </c>
      <c r="H25" s="23">
        <f t="shared" si="6"/>
        <v>15.011976047904191</v>
      </c>
      <c r="I25" s="23">
        <f t="shared" si="6"/>
        <v>15.011976047904191</v>
      </c>
      <c r="J25" s="23">
        <f t="shared" si="6"/>
        <v>15.011976047904191</v>
      </c>
      <c r="K25" s="23">
        <f t="shared" si="6"/>
        <v>15.011976047904191</v>
      </c>
      <c r="L25" s="23">
        <f t="shared" si="8"/>
        <v>1000</v>
      </c>
      <c r="M25" s="23">
        <f t="shared" si="3"/>
        <v>1000</v>
      </c>
      <c r="N25" s="23">
        <f t="shared" si="3"/>
        <v>1000</v>
      </c>
      <c r="O25" s="23">
        <f t="shared" si="3"/>
        <v>1000</v>
      </c>
      <c r="P25" s="23">
        <f t="shared" si="3"/>
        <v>1000</v>
      </c>
    </row>
    <row r="26" spans="1:16" ht="15">
      <c r="A26" s="3" t="s">
        <v>40</v>
      </c>
      <c r="B26" s="19">
        <f t="shared" si="4"/>
        <v>0</v>
      </c>
      <c r="C26" s="20">
        <f t="shared" si="5"/>
        <v>0</v>
      </c>
      <c r="D26" s="20">
        <f t="shared" si="2"/>
        <v>0</v>
      </c>
      <c r="E26" s="20">
        <f t="shared" si="2"/>
        <v>0</v>
      </c>
      <c r="F26" s="20">
        <f t="shared" si="2"/>
        <v>0</v>
      </c>
      <c r="G26" s="23">
        <f t="shared" si="7"/>
        <v>15.011976047904191</v>
      </c>
      <c r="H26" s="23">
        <f t="shared" si="6"/>
        <v>15.011976047904191</v>
      </c>
      <c r="I26" s="23">
        <f t="shared" si="6"/>
        <v>15.011976047904191</v>
      </c>
      <c r="J26" s="23">
        <f t="shared" si="6"/>
        <v>15.011976047904191</v>
      </c>
      <c r="K26" s="23">
        <f t="shared" si="6"/>
        <v>15.011976047904191</v>
      </c>
      <c r="L26" s="23">
        <f t="shared" si="8"/>
        <v>1000</v>
      </c>
      <c r="M26" s="23">
        <f t="shared" si="3"/>
        <v>1000</v>
      </c>
      <c r="N26" s="23">
        <f t="shared" si="3"/>
        <v>1000</v>
      </c>
      <c r="O26" s="23">
        <f t="shared" si="3"/>
        <v>1000</v>
      </c>
      <c r="P26" s="23">
        <f t="shared" si="3"/>
        <v>1000</v>
      </c>
    </row>
    <row r="27" spans="1:16" ht="15">
      <c r="A27" s="3" t="s">
        <v>41</v>
      </c>
      <c r="B27" s="19">
        <f t="shared" si="4"/>
        <v>0</v>
      </c>
      <c r="C27" s="20">
        <f t="shared" si="5"/>
        <v>12.622499999999999</v>
      </c>
      <c r="D27" s="20">
        <f t="shared" si="2"/>
        <v>0</v>
      </c>
      <c r="E27" s="20">
        <f t="shared" si="2"/>
        <v>0</v>
      </c>
      <c r="F27" s="20">
        <f t="shared" si="2"/>
        <v>0</v>
      </c>
      <c r="G27" s="23">
        <f t="shared" si="7"/>
        <v>15.011976047904191</v>
      </c>
      <c r="H27" s="23">
        <f t="shared" si="6"/>
        <v>15.011976047904191</v>
      </c>
      <c r="I27" s="23">
        <f t="shared" si="6"/>
        <v>15.011976047904191</v>
      </c>
      <c r="J27" s="23">
        <f t="shared" si="6"/>
        <v>15.011976047904191</v>
      </c>
      <c r="K27" s="23">
        <f t="shared" si="6"/>
        <v>15.011976047904191</v>
      </c>
      <c r="L27" s="23">
        <f t="shared" si="8"/>
        <v>1000</v>
      </c>
      <c r="M27" s="23">
        <f t="shared" si="3"/>
        <v>1000</v>
      </c>
      <c r="N27" s="23">
        <f t="shared" si="3"/>
        <v>1000</v>
      </c>
      <c r="O27" s="23">
        <f t="shared" si="3"/>
        <v>1000</v>
      </c>
      <c r="P27" s="23">
        <f t="shared" si="3"/>
        <v>1000</v>
      </c>
    </row>
    <row r="28" spans="1:16" ht="15">
      <c r="A28" s="3" t="s">
        <v>42</v>
      </c>
      <c r="B28" s="24">
        <f>IF(B20=0,0,(G20/B20*G28)+((L20/L28)*G28))</f>
        <v>0</v>
      </c>
      <c r="C28" s="24">
        <f aca="true" t="shared" si="9" ref="C28:F35">IF(C20=0,0,(H20/C20*H28)+((M20/M28)*H28))</f>
        <v>0</v>
      </c>
      <c r="D28" s="24">
        <f t="shared" si="9"/>
        <v>0</v>
      </c>
      <c r="E28" s="24">
        <f t="shared" si="9"/>
        <v>0</v>
      </c>
      <c r="F28" s="24">
        <f t="shared" si="9"/>
        <v>0</v>
      </c>
      <c r="G28" s="25">
        <v>0.041666666666666664</v>
      </c>
      <c r="H28" s="25">
        <f>+G28</f>
        <v>0.041666666666666664</v>
      </c>
      <c r="I28" s="25">
        <f>+H28</f>
        <v>0.041666666666666664</v>
      </c>
      <c r="J28" s="25">
        <f>+I28</f>
        <v>0.041666666666666664</v>
      </c>
      <c r="K28" s="25">
        <f>+J28</f>
        <v>0.041666666666666664</v>
      </c>
      <c r="L28" s="23">
        <f>+L35*0.86</f>
        <v>860</v>
      </c>
      <c r="M28" s="23">
        <f>+M29</f>
        <v>800</v>
      </c>
      <c r="N28" s="23">
        <f>+M28-40</f>
        <v>760</v>
      </c>
      <c r="O28" s="23">
        <f>+N28-80</f>
        <v>680</v>
      </c>
      <c r="P28" s="23">
        <f>+B9*0.54</f>
        <v>540</v>
      </c>
    </row>
    <row r="29" spans="1:16" ht="15">
      <c r="A29" s="3" t="s">
        <v>43</v>
      </c>
      <c r="B29" s="24">
        <f aca="true" t="shared" si="10" ref="B29:B35">IF(B21=0,0,(G21/B21*G29)+((L21/L29)*G29))</f>
        <v>0</v>
      </c>
      <c r="C29" s="24">
        <f t="shared" si="9"/>
        <v>0.13467381355991392</v>
      </c>
      <c r="D29" s="24">
        <f t="shared" si="9"/>
        <v>0</v>
      </c>
      <c r="E29" s="24">
        <f t="shared" si="9"/>
        <v>0</v>
      </c>
      <c r="F29" s="24">
        <f t="shared" si="9"/>
        <v>0</v>
      </c>
      <c r="G29" s="25">
        <f aca="true" t="shared" si="11" ref="G29:G35">+G28</f>
        <v>0.041666666666666664</v>
      </c>
      <c r="H29" s="25">
        <f aca="true" t="shared" si="12" ref="H29:K35">+G29</f>
        <v>0.041666666666666664</v>
      </c>
      <c r="I29" s="25">
        <f t="shared" si="12"/>
        <v>0.041666666666666664</v>
      </c>
      <c r="J29" s="25">
        <f t="shared" si="12"/>
        <v>0.041666666666666664</v>
      </c>
      <c r="K29" s="25">
        <f t="shared" si="12"/>
        <v>0.041666666666666664</v>
      </c>
      <c r="L29" s="23">
        <f>+L35*0.85</f>
        <v>850</v>
      </c>
      <c r="M29" s="23">
        <f>+L35*0.8</f>
        <v>800</v>
      </c>
      <c r="N29" s="23">
        <f aca="true" t="shared" si="13" ref="N29:N35">+M29-40</f>
        <v>760</v>
      </c>
      <c r="O29" s="23">
        <f aca="true" t="shared" si="14" ref="O29:O35">+N29-80</f>
        <v>680</v>
      </c>
      <c r="P29" s="23">
        <f>+B9*0.44</f>
        <v>440</v>
      </c>
    </row>
    <row r="30" spans="1:16" ht="15">
      <c r="A30" s="3" t="s">
        <v>44</v>
      </c>
      <c r="B30" s="24">
        <f t="shared" si="10"/>
        <v>0</v>
      </c>
      <c r="C30" s="24">
        <f t="shared" si="9"/>
        <v>0</v>
      </c>
      <c r="D30" s="24">
        <f t="shared" si="9"/>
        <v>0</v>
      </c>
      <c r="E30" s="24">
        <f t="shared" si="9"/>
        <v>0</v>
      </c>
      <c r="F30" s="24">
        <f t="shared" si="9"/>
        <v>0</v>
      </c>
      <c r="G30" s="25">
        <f t="shared" si="11"/>
        <v>0.041666666666666664</v>
      </c>
      <c r="H30" s="25">
        <f t="shared" si="12"/>
        <v>0.041666666666666664</v>
      </c>
      <c r="I30" s="25">
        <f t="shared" si="12"/>
        <v>0.041666666666666664</v>
      </c>
      <c r="J30" s="25">
        <f t="shared" si="12"/>
        <v>0.041666666666666664</v>
      </c>
      <c r="K30" s="25">
        <f t="shared" si="12"/>
        <v>0.041666666666666664</v>
      </c>
      <c r="L30" s="23">
        <f>+L34*0.9</f>
        <v>900</v>
      </c>
      <c r="M30" s="23">
        <f>+M31</f>
        <v>880</v>
      </c>
      <c r="N30" s="23">
        <f t="shared" si="13"/>
        <v>840</v>
      </c>
      <c r="O30" s="23">
        <f t="shared" si="14"/>
        <v>760</v>
      </c>
      <c r="P30" s="23">
        <f>+B9*0.6</f>
        <v>600</v>
      </c>
    </row>
    <row r="31" spans="1:16" ht="15">
      <c r="A31" s="3" t="s">
        <v>45</v>
      </c>
      <c r="B31" s="24">
        <f t="shared" si="10"/>
        <v>0</v>
      </c>
      <c r="C31" s="24">
        <f t="shared" si="9"/>
        <v>0.12477706006090415</v>
      </c>
      <c r="D31" s="24">
        <f t="shared" si="9"/>
        <v>0</v>
      </c>
      <c r="E31" s="24">
        <f t="shared" si="9"/>
        <v>0</v>
      </c>
      <c r="F31" s="24">
        <f t="shared" si="9"/>
        <v>0</v>
      </c>
      <c r="G31" s="25">
        <f t="shared" si="11"/>
        <v>0.041666666666666664</v>
      </c>
      <c r="H31" s="25">
        <f t="shared" si="12"/>
        <v>0.041666666666666664</v>
      </c>
      <c r="I31" s="25">
        <f t="shared" si="12"/>
        <v>0.041666666666666664</v>
      </c>
      <c r="J31" s="25">
        <f t="shared" si="12"/>
        <v>0.041666666666666664</v>
      </c>
      <c r="K31" s="25">
        <f t="shared" si="12"/>
        <v>0.041666666666666664</v>
      </c>
      <c r="L31" s="23">
        <f>+L35*0.9</f>
        <v>900</v>
      </c>
      <c r="M31" s="23">
        <f>+L34*0.88</f>
        <v>880</v>
      </c>
      <c r="N31" s="23">
        <f t="shared" si="13"/>
        <v>840</v>
      </c>
      <c r="O31" s="23">
        <f t="shared" si="14"/>
        <v>760</v>
      </c>
      <c r="P31" s="23">
        <f>+B9*0.5</f>
        <v>500</v>
      </c>
    </row>
    <row r="32" spans="1:16" ht="15">
      <c r="A32" s="3" t="s">
        <v>46</v>
      </c>
      <c r="B32" s="24">
        <f t="shared" si="10"/>
        <v>0</v>
      </c>
      <c r="C32" s="24">
        <f t="shared" si="9"/>
        <v>0</v>
      </c>
      <c r="D32" s="24">
        <f t="shared" si="9"/>
        <v>0</v>
      </c>
      <c r="E32" s="24">
        <f t="shared" si="9"/>
        <v>0</v>
      </c>
      <c r="F32" s="24">
        <f t="shared" si="9"/>
        <v>0</v>
      </c>
      <c r="G32" s="25">
        <f t="shared" si="11"/>
        <v>0.041666666666666664</v>
      </c>
      <c r="H32" s="25">
        <f t="shared" si="12"/>
        <v>0.041666666666666664</v>
      </c>
      <c r="I32" s="25">
        <f t="shared" si="12"/>
        <v>0.041666666666666664</v>
      </c>
      <c r="J32" s="25">
        <f t="shared" si="12"/>
        <v>0.041666666666666664</v>
      </c>
      <c r="K32" s="25">
        <f t="shared" si="12"/>
        <v>0.041666666666666664</v>
      </c>
      <c r="L32" s="23">
        <f>+L34*0.96</f>
        <v>960</v>
      </c>
      <c r="M32" s="23">
        <f>+M33</f>
        <v>900</v>
      </c>
      <c r="N32" s="23">
        <f t="shared" si="13"/>
        <v>860</v>
      </c>
      <c r="O32" s="23">
        <f t="shared" si="14"/>
        <v>780</v>
      </c>
      <c r="P32" s="23">
        <f>+B9*0.62</f>
        <v>620</v>
      </c>
    </row>
    <row r="33" spans="1:16" ht="15">
      <c r="A33" s="3" t="s">
        <v>47</v>
      </c>
      <c r="B33" s="24">
        <f t="shared" si="10"/>
        <v>0</v>
      </c>
      <c r="C33" s="24">
        <f t="shared" si="9"/>
        <v>0.09720823616199666</v>
      </c>
      <c r="D33" s="24">
        <f t="shared" si="9"/>
        <v>0</v>
      </c>
      <c r="E33" s="24">
        <f t="shared" si="9"/>
        <v>0</v>
      </c>
      <c r="F33" s="24">
        <f t="shared" si="9"/>
        <v>0</v>
      </c>
      <c r="G33" s="25">
        <f t="shared" si="11"/>
        <v>0.041666666666666664</v>
      </c>
      <c r="H33" s="25">
        <f t="shared" si="12"/>
        <v>0.041666666666666664</v>
      </c>
      <c r="I33" s="25">
        <f t="shared" si="12"/>
        <v>0.041666666666666664</v>
      </c>
      <c r="J33" s="25">
        <f t="shared" si="12"/>
        <v>0.041666666666666664</v>
      </c>
      <c r="K33" s="25">
        <f t="shared" si="12"/>
        <v>0.041666666666666664</v>
      </c>
      <c r="L33" s="23">
        <f>+L34*0.96</f>
        <v>960</v>
      </c>
      <c r="M33" s="23">
        <f>+L34*0.9</f>
        <v>900</v>
      </c>
      <c r="N33" s="23">
        <f t="shared" si="13"/>
        <v>860</v>
      </c>
      <c r="O33" s="23">
        <f t="shared" si="14"/>
        <v>780</v>
      </c>
      <c r="P33" s="23">
        <f>+B9*0.52</f>
        <v>520</v>
      </c>
    </row>
    <row r="34" spans="1:16" ht="15">
      <c r="A34" s="3" t="s">
        <v>48</v>
      </c>
      <c r="B34" s="24">
        <f t="shared" si="10"/>
        <v>0</v>
      </c>
      <c r="C34" s="24">
        <f t="shared" si="9"/>
        <v>0</v>
      </c>
      <c r="D34" s="24">
        <f t="shared" si="9"/>
        <v>0</v>
      </c>
      <c r="E34" s="24">
        <f t="shared" si="9"/>
        <v>0</v>
      </c>
      <c r="F34" s="24">
        <f t="shared" si="9"/>
        <v>0</v>
      </c>
      <c r="G34" s="25">
        <f t="shared" si="11"/>
        <v>0.041666666666666664</v>
      </c>
      <c r="H34" s="25">
        <f t="shared" si="12"/>
        <v>0.041666666666666664</v>
      </c>
      <c r="I34" s="25">
        <f t="shared" si="12"/>
        <v>0.041666666666666664</v>
      </c>
      <c r="J34" s="25">
        <f t="shared" si="12"/>
        <v>0.041666666666666664</v>
      </c>
      <c r="K34" s="25">
        <f t="shared" si="12"/>
        <v>0.041666666666666664</v>
      </c>
      <c r="L34" s="23">
        <f>+L35</f>
        <v>1000</v>
      </c>
      <c r="M34" s="23">
        <f>+L34*0.95</f>
        <v>950</v>
      </c>
      <c r="N34" s="23">
        <f t="shared" si="13"/>
        <v>910</v>
      </c>
      <c r="O34" s="23">
        <f t="shared" si="14"/>
        <v>830</v>
      </c>
      <c r="P34" s="23">
        <f>+B9*0.64</f>
        <v>640</v>
      </c>
    </row>
    <row r="35" spans="1:16" ht="15">
      <c r="A35" s="3" t="s">
        <v>49</v>
      </c>
      <c r="B35" s="24">
        <f t="shared" si="10"/>
        <v>0</v>
      </c>
      <c r="C35" s="24">
        <f t="shared" si="9"/>
        <v>0.09341393725875535</v>
      </c>
      <c r="D35" s="24">
        <f t="shared" si="9"/>
        <v>0</v>
      </c>
      <c r="E35" s="24">
        <f t="shared" si="9"/>
        <v>0</v>
      </c>
      <c r="F35" s="24">
        <f t="shared" si="9"/>
        <v>0</v>
      </c>
      <c r="G35" s="25">
        <f t="shared" si="11"/>
        <v>0.041666666666666664</v>
      </c>
      <c r="H35" s="25">
        <f t="shared" si="12"/>
        <v>0.041666666666666664</v>
      </c>
      <c r="I35" s="25">
        <f t="shared" si="12"/>
        <v>0.041666666666666664</v>
      </c>
      <c r="J35" s="25">
        <f t="shared" si="12"/>
        <v>0.041666666666666664</v>
      </c>
      <c r="K35" s="25">
        <f t="shared" si="12"/>
        <v>0.041666666666666664</v>
      </c>
      <c r="L35" s="23">
        <f>+B9</f>
        <v>1000</v>
      </c>
      <c r="M35" s="23">
        <f>+L35*0.95</f>
        <v>950</v>
      </c>
      <c r="N35" s="23">
        <f t="shared" si="13"/>
        <v>910</v>
      </c>
      <c r="O35" s="23">
        <f t="shared" si="14"/>
        <v>830</v>
      </c>
      <c r="P35" s="23">
        <f>+B9*0.54</f>
        <v>540</v>
      </c>
    </row>
  </sheetData>
  <mergeCells count="1">
    <mergeCell ref="B5:E5"/>
  </mergeCells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Thevenin</dc:creator>
  <cp:keywords/>
  <dc:description/>
  <cp:lastModifiedBy>Administrateur</cp:lastModifiedBy>
  <cp:lastPrinted>2007-02-06T18:59:04Z</cp:lastPrinted>
  <dcterms:created xsi:type="dcterms:W3CDTF">2007-02-01T15:16:12Z</dcterms:created>
  <dcterms:modified xsi:type="dcterms:W3CDTF">2007-03-26T07:08:34Z</dcterms:modified>
  <cp:category/>
  <cp:version/>
  <cp:contentType/>
  <cp:contentStatus/>
</cp:coreProperties>
</file>