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cham/Desktop/"/>
    </mc:Choice>
  </mc:AlternateContent>
  <xr:revisionPtr revIDLastSave="0" documentId="13_ncr:1_{3754F003-DABE-9447-B31A-3861AC6F6F10}" xr6:coauthVersionLast="47" xr6:coauthVersionMax="47" xr10:uidLastSave="{00000000-0000-0000-0000-000000000000}"/>
  <bookViews>
    <workbookView xWindow="0" yWindow="760" windowWidth="30240" windowHeight="18880" xr2:uid="{4D3E5FE5-D3DC-F04B-93D1-376C85EC1F09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" i="2" l="1"/>
  <c r="G101" i="2"/>
  <c r="C109" i="2"/>
  <c r="D108" i="2" s="1"/>
  <c r="D109" i="2" s="1"/>
  <c r="E108" i="2" s="1"/>
  <c r="E109" i="2" s="1"/>
  <c r="F108" i="2" s="1"/>
  <c r="F109" i="2" s="1"/>
  <c r="G108" i="2" s="1"/>
  <c r="C108" i="2"/>
  <c r="B109" i="2"/>
  <c r="C107" i="2"/>
  <c r="D107" i="2"/>
  <c r="E107" i="2"/>
  <c r="F107" i="2"/>
  <c r="G107" i="2"/>
  <c r="B107" i="2"/>
  <c r="D106" i="2"/>
  <c r="E106" i="2"/>
  <c r="F106" i="2"/>
  <c r="G106" i="2"/>
  <c r="B106" i="2"/>
  <c r="D104" i="2"/>
  <c r="E104" i="2"/>
  <c r="F104" i="2"/>
  <c r="G104" i="2"/>
  <c r="C104" i="2"/>
  <c r="E101" i="2"/>
  <c r="F101" i="2"/>
  <c r="D101" i="2"/>
  <c r="F100" i="2"/>
  <c r="G100" i="2"/>
  <c r="C100" i="2"/>
  <c r="D100" i="2"/>
  <c r="E100" i="2"/>
  <c r="B100" i="2"/>
  <c r="D96" i="2"/>
  <c r="E96" i="2"/>
  <c r="F96" i="2"/>
  <c r="G96" i="2"/>
  <c r="C96" i="2"/>
  <c r="C93" i="2"/>
  <c r="C92" i="2"/>
  <c r="C91" i="2"/>
  <c r="C90" i="2"/>
  <c r="B93" i="2"/>
  <c r="B92" i="2"/>
  <c r="B91" i="2"/>
  <c r="B90" i="2"/>
  <c r="C87" i="2"/>
  <c r="D87" i="2"/>
  <c r="E87" i="2"/>
  <c r="F87" i="2"/>
  <c r="B87" i="2"/>
  <c r="C84" i="2"/>
  <c r="D84" i="2"/>
  <c r="E84" i="2"/>
  <c r="F84" i="2"/>
  <c r="B84" i="2"/>
  <c r="C83" i="2"/>
  <c r="D83" i="2"/>
  <c r="E83" i="2"/>
  <c r="F83" i="2"/>
  <c r="B83" i="2"/>
  <c r="C82" i="2"/>
  <c r="D82" i="2"/>
  <c r="E82" i="2"/>
  <c r="F82" i="2"/>
  <c r="B82" i="2"/>
  <c r="C79" i="2"/>
  <c r="D79" i="2"/>
  <c r="E79" i="2"/>
  <c r="F79" i="2"/>
  <c r="B79" i="2"/>
  <c r="G69" i="2"/>
  <c r="G70" i="2"/>
  <c r="G71" i="2"/>
  <c r="G72" i="2"/>
  <c r="G68" i="2"/>
  <c r="E69" i="2"/>
  <c r="E70" i="2"/>
  <c r="E71" i="2"/>
  <c r="H71" i="2" s="1"/>
  <c r="I71" i="2" s="1"/>
  <c r="C69" i="2"/>
  <c r="F69" i="2" s="1"/>
  <c r="H69" i="2" s="1"/>
  <c r="I69" i="2" s="1"/>
  <c r="C70" i="2"/>
  <c r="F70" i="2" s="1"/>
  <c r="H70" i="2" s="1"/>
  <c r="I70" i="2" s="1"/>
  <c r="C71" i="2"/>
  <c r="F71" i="2" s="1"/>
  <c r="C72" i="2"/>
  <c r="E72" i="2" s="1"/>
  <c r="C68" i="2"/>
  <c r="E63" i="2"/>
  <c r="E62" i="2"/>
  <c r="E61" i="2"/>
  <c r="E60" i="2"/>
  <c r="E59" i="2"/>
  <c r="D62" i="2"/>
  <c r="F62" i="2" s="1"/>
  <c r="C60" i="2"/>
  <c r="D60" i="2" s="1"/>
  <c r="C61" i="2"/>
  <c r="D61" i="2" s="1"/>
  <c r="F61" i="2" s="1"/>
  <c r="C62" i="2"/>
  <c r="C63" i="2"/>
  <c r="D63" i="2" s="1"/>
  <c r="C59" i="2"/>
  <c r="D59" i="2" s="1"/>
  <c r="B52" i="2"/>
  <c r="C52" i="2"/>
  <c r="D52" i="2"/>
  <c r="E52" i="2"/>
  <c r="F52" i="2"/>
  <c r="B46" i="2"/>
  <c r="B45" i="2"/>
  <c r="B44" i="2"/>
  <c r="B47" i="2" s="1"/>
  <c r="C35" i="2"/>
  <c r="D35" i="2"/>
  <c r="E35" i="2"/>
  <c r="F35" i="2"/>
  <c r="C36" i="2"/>
  <c r="D36" i="2"/>
  <c r="B36" i="2"/>
  <c r="B35" i="2"/>
  <c r="C34" i="2"/>
  <c r="D34" i="2"/>
  <c r="E34" i="2"/>
  <c r="F34" i="2"/>
  <c r="B34" i="2"/>
  <c r="G16" i="2"/>
  <c r="F16" i="2"/>
  <c r="E16" i="2"/>
  <c r="D16" i="2"/>
  <c r="C16" i="2"/>
  <c r="B16" i="2"/>
  <c r="B15" i="2"/>
  <c r="B17" i="2" s="1"/>
  <c r="B25" i="2"/>
  <c r="B30" i="2" s="1"/>
  <c r="C23" i="2"/>
  <c r="D23" i="2" s="1"/>
  <c r="D24" i="2"/>
  <c r="E24" i="2"/>
  <c r="F24" i="2"/>
  <c r="C24" i="2"/>
  <c r="B99" i="1"/>
  <c r="B100" i="1" s="1"/>
  <c r="B102" i="1" s="1"/>
  <c r="C101" i="1" s="1"/>
  <c r="A85" i="1"/>
  <c r="C66" i="1"/>
  <c r="D66" i="1" s="1"/>
  <c r="E66" i="1" s="1"/>
  <c r="C67" i="1"/>
  <c r="D67" i="1" s="1"/>
  <c r="E67" i="1" s="1"/>
  <c r="C68" i="1"/>
  <c r="D68" i="1" s="1"/>
  <c r="E68" i="1" s="1"/>
  <c r="C69" i="1"/>
  <c r="D69" i="1" s="1"/>
  <c r="E69" i="1" s="1"/>
  <c r="C65" i="1"/>
  <c r="D65" i="1" s="1"/>
  <c r="E65" i="1" s="1"/>
  <c r="G58" i="1"/>
  <c r="G59" i="1"/>
  <c r="G60" i="1"/>
  <c r="G61" i="1"/>
  <c r="G57" i="1"/>
  <c r="F58" i="1"/>
  <c r="F59" i="1"/>
  <c r="C58" i="1"/>
  <c r="E58" i="1" s="1"/>
  <c r="H58" i="1" s="1"/>
  <c r="I58" i="1" s="1"/>
  <c r="C59" i="1"/>
  <c r="E59" i="1" s="1"/>
  <c r="C60" i="1"/>
  <c r="E60" i="1" s="1"/>
  <c r="C61" i="1"/>
  <c r="E61" i="1" s="1"/>
  <c r="C57" i="1"/>
  <c r="F57" i="1" s="1"/>
  <c r="F48" i="1"/>
  <c r="E48" i="1"/>
  <c r="D48" i="1"/>
  <c r="C48" i="1"/>
  <c r="B48" i="1"/>
  <c r="D38" i="1"/>
  <c r="D40" i="1"/>
  <c r="C29" i="1"/>
  <c r="D29" i="1"/>
  <c r="B29" i="1"/>
  <c r="F28" i="1"/>
  <c r="C28" i="1"/>
  <c r="D28" i="1"/>
  <c r="E28" i="1"/>
  <c r="B28" i="1"/>
  <c r="C27" i="1"/>
  <c r="D27" i="1"/>
  <c r="E27" i="1"/>
  <c r="F27" i="1"/>
  <c r="B27" i="1"/>
  <c r="G11" i="1"/>
  <c r="F11" i="1"/>
  <c r="E11" i="1"/>
  <c r="D11" i="1"/>
  <c r="C11" i="1"/>
  <c r="B11" i="1"/>
  <c r="B10" i="1"/>
  <c r="B18" i="1"/>
  <c r="B19" i="1" s="1"/>
  <c r="B20" i="1" s="1"/>
  <c r="C9" i="1" s="1"/>
  <c r="C10" i="1" s="1"/>
  <c r="C17" i="1"/>
  <c r="C16" i="1"/>
  <c r="D16" i="1" s="1"/>
  <c r="G109" i="2" l="1"/>
  <c r="I68" i="2"/>
  <c r="F68" i="2"/>
  <c r="F59" i="2"/>
  <c r="F63" i="2"/>
  <c r="E68" i="2"/>
  <c r="H68" i="2" s="1"/>
  <c r="F72" i="2"/>
  <c r="H72" i="2" s="1"/>
  <c r="I72" i="2" s="1"/>
  <c r="F60" i="2"/>
  <c r="F64" i="2" s="1"/>
  <c r="C25" i="2"/>
  <c r="C26" i="2" s="1"/>
  <c r="E23" i="2"/>
  <c r="D25" i="2"/>
  <c r="B31" i="2"/>
  <c r="B37" i="2" s="1"/>
  <c r="B38" i="2" s="1"/>
  <c r="B40" i="2" s="1"/>
  <c r="B50" i="2" s="1"/>
  <c r="B53" i="2" s="1"/>
  <c r="B26" i="2"/>
  <c r="B27" i="2" s="1"/>
  <c r="C14" i="2" s="1"/>
  <c r="C15" i="2" s="1"/>
  <c r="C17" i="2" s="1"/>
  <c r="E70" i="1"/>
  <c r="C97" i="1"/>
  <c r="C99" i="1" s="1"/>
  <c r="F33" i="1"/>
  <c r="F61" i="1"/>
  <c r="H61" i="1" s="1"/>
  <c r="I61" i="1" s="1"/>
  <c r="C33" i="1"/>
  <c r="H59" i="1"/>
  <c r="I59" i="1" s="1"/>
  <c r="B12" i="1"/>
  <c r="B41" i="1"/>
  <c r="E57" i="1"/>
  <c r="H57" i="1" s="1"/>
  <c r="D33" i="1"/>
  <c r="B33" i="1"/>
  <c r="F60" i="1"/>
  <c r="H60" i="1" s="1"/>
  <c r="I60" i="1" s="1"/>
  <c r="C12" i="1"/>
  <c r="D18" i="1"/>
  <c r="D19" i="1" s="1"/>
  <c r="E16" i="1"/>
  <c r="E18" i="1" s="1"/>
  <c r="E19" i="1" s="1"/>
  <c r="C18" i="1"/>
  <c r="C19" i="1" s="1"/>
  <c r="C20" i="1" s="1"/>
  <c r="D9" i="1" s="1"/>
  <c r="E33" i="1"/>
  <c r="B23" i="1"/>
  <c r="B24" i="1" s="1"/>
  <c r="B30" i="1" s="1"/>
  <c r="C30" i="2" l="1"/>
  <c r="C31" i="2" s="1"/>
  <c r="C37" i="2" s="1"/>
  <c r="C38" i="2" s="1"/>
  <c r="C40" i="2" s="1"/>
  <c r="C50" i="2" s="1"/>
  <c r="C53" i="2" s="1"/>
  <c r="I73" i="2"/>
  <c r="D30" i="2"/>
  <c r="D26" i="2"/>
  <c r="D27" i="2" s="1"/>
  <c r="E14" i="2" s="1"/>
  <c r="E15" i="2" s="1"/>
  <c r="E17" i="2" s="1"/>
  <c r="E25" i="2"/>
  <c r="F23" i="2"/>
  <c r="F25" i="2" s="1"/>
  <c r="C27" i="2"/>
  <c r="D14" i="2" s="1"/>
  <c r="D15" i="2" s="1"/>
  <c r="D17" i="2" s="1"/>
  <c r="D10" i="1"/>
  <c r="D12" i="1" s="1"/>
  <c r="D97" i="1"/>
  <c r="I62" i="1"/>
  <c r="B31" i="1"/>
  <c r="B32" i="1" s="1"/>
  <c r="B34" i="1" s="1"/>
  <c r="B46" i="1" s="1"/>
  <c r="B49" i="1" s="1"/>
  <c r="B76" i="1"/>
  <c r="B79" i="1" s="1"/>
  <c r="B81" i="1" s="1"/>
  <c r="C23" i="1"/>
  <c r="C24" i="1" s="1"/>
  <c r="C30" i="1" s="1"/>
  <c r="C76" i="1" s="1"/>
  <c r="C79" i="1" s="1"/>
  <c r="C81" i="1" s="1"/>
  <c r="E23" i="1"/>
  <c r="E24" i="1" s="1"/>
  <c r="E30" i="1" s="1"/>
  <c r="E76" i="1" s="1"/>
  <c r="E79" i="1" s="1"/>
  <c r="E81" i="1" s="1"/>
  <c r="E20" i="1"/>
  <c r="F9" i="1" s="1"/>
  <c r="D23" i="1"/>
  <c r="D24" i="1" s="1"/>
  <c r="D30" i="1" s="1"/>
  <c r="D76" i="1" s="1"/>
  <c r="D79" i="1" s="1"/>
  <c r="D81" i="1" s="1"/>
  <c r="F16" i="1"/>
  <c r="F18" i="1" s="1"/>
  <c r="F19" i="1" s="1"/>
  <c r="F20" i="1" s="1"/>
  <c r="G9" i="1" s="1"/>
  <c r="D20" i="1"/>
  <c r="E9" i="1" s="1"/>
  <c r="F26" i="2" l="1"/>
  <c r="F30" i="2"/>
  <c r="E30" i="2"/>
  <c r="E26" i="2"/>
  <c r="E27" i="2" s="1"/>
  <c r="F14" i="2" s="1"/>
  <c r="F15" i="2" s="1"/>
  <c r="F17" i="2" s="1"/>
  <c r="D31" i="2"/>
  <c r="D37" i="2" s="1"/>
  <c r="D38" i="2" s="1"/>
  <c r="D40" i="2" s="1"/>
  <c r="D50" i="2" s="1"/>
  <c r="D53" i="2" s="1"/>
  <c r="E83" i="1"/>
  <c r="F89" i="1" s="1"/>
  <c r="F93" i="1" s="1"/>
  <c r="G94" i="1"/>
  <c r="C83" i="1"/>
  <c r="D89" i="1" s="1"/>
  <c r="D93" i="1" s="1"/>
  <c r="E94" i="1"/>
  <c r="B83" i="1"/>
  <c r="C89" i="1" s="1"/>
  <c r="C93" i="1" s="1"/>
  <c r="C100" i="1" s="1"/>
  <c r="C102" i="1" s="1"/>
  <c r="D101" i="1" s="1"/>
  <c r="D94" i="1"/>
  <c r="D99" i="1" s="1"/>
  <c r="E10" i="1"/>
  <c r="E12" i="1" s="1"/>
  <c r="E97" i="1"/>
  <c r="G10" i="1"/>
  <c r="G12" i="1" s="1"/>
  <c r="G97" i="1"/>
  <c r="F10" i="1"/>
  <c r="F12" i="1" s="1"/>
  <c r="F97" i="1"/>
  <c r="D83" i="1"/>
  <c r="E89" i="1" s="1"/>
  <c r="E93" i="1" s="1"/>
  <c r="F94" i="1"/>
  <c r="F99" i="1" s="1"/>
  <c r="F23" i="1"/>
  <c r="F24" i="1" s="1"/>
  <c r="F30" i="1" s="1"/>
  <c r="F76" i="1" s="1"/>
  <c r="F79" i="1" s="1"/>
  <c r="F81" i="1" s="1"/>
  <c r="F83" i="1" s="1"/>
  <c r="G89" i="1" s="1"/>
  <c r="G93" i="1" s="1"/>
  <c r="B13" i="1"/>
  <c r="C31" i="1"/>
  <c r="C32" i="1" s="1"/>
  <c r="C34" i="1" s="1"/>
  <c r="D31" i="1"/>
  <c r="D32" i="1" s="1"/>
  <c r="D34" i="1" s="1"/>
  <c r="D46" i="1" s="1"/>
  <c r="D49" i="1" s="1"/>
  <c r="E31" i="1"/>
  <c r="E32" i="1" s="1"/>
  <c r="E34" i="1" s="1"/>
  <c r="E46" i="1" s="1"/>
  <c r="E49" i="1" s="1"/>
  <c r="E31" i="2" l="1"/>
  <c r="E37" i="2" s="1"/>
  <c r="E38" i="2" s="1"/>
  <c r="E40" i="2" s="1"/>
  <c r="E50" i="2" s="1"/>
  <c r="E53" i="2" s="1"/>
  <c r="F31" i="2"/>
  <c r="F37" i="2" s="1"/>
  <c r="F38" i="2" s="1"/>
  <c r="F40" i="2" s="1"/>
  <c r="F27" i="2"/>
  <c r="G14" i="2" s="1"/>
  <c r="G15" i="2" s="1"/>
  <c r="G17" i="2" s="1"/>
  <c r="B18" i="2" s="1"/>
  <c r="E99" i="1"/>
  <c r="E100" i="1" s="1"/>
  <c r="G99" i="1"/>
  <c r="G100" i="1" s="1"/>
  <c r="D100" i="1"/>
  <c r="D102" i="1" s="1"/>
  <c r="E101" i="1" s="1"/>
  <c r="E102" i="1" s="1"/>
  <c r="F101" i="1" s="1"/>
  <c r="F102" i="1" s="1"/>
  <c r="G101" i="1" s="1"/>
  <c r="G102" i="1" s="1"/>
  <c r="F100" i="1"/>
  <c r="C46" i="1"/>
  <c r="C49" i="1" s="1"/>
  <c r="B85" i="1"/>
  <c r="F31" i="1"/>
  <c r="F32" i="1" s="1"/>
  <c r="F34" i="1" s="1"/>
  <c r="D44" i="2" l="1"/>
  <c r="D47" i="2" s="1"/>
  <c r="F51" i="2" s="1"/>
  <c r="F50" i="2"/>
  <c r="F46" i="1"/>
  <c r="D42" i="1"/>
  <c r="B43" i="1" s="1"/>
  <c r="F47" i="1" s="1"/>
  <c r="F53" i="2" l="1"/>
  <c r="B54" i="2" s="1"/>
  <c r="E55" i="2" s="1"/>
  <c r="F49" i="1"/>
  <c r="B50" i="1" s="1"/>
  <c r="B55" i="2" l="1"/>
  <c r="E51" i="1"/>
  <c r="B51" i="1"/>
</calcChain>
</file>

<file path=xl/sharedStrings.xml><?xml version="1.0" encoding="utf-8"?>
<sst xmlns="http://schemas.openxmlformats.org/spreadsheetml/2006/main" count="322" uniqueCount="204">
  <si>
    <t>VISULUX</t>
  </si>
  <si>
    <t>TAUX k</t>
  </si>
  <si>
    <t>CALCUL DE LA DI</t>
  </si>
  <si>
    <t>N+1</t>
  </si>
  <si>
    <t>N+2</t>
  </si>
  <si>
    <t>N+3</t>
  </si>
  <si>
    <t>N+4</t>
  </si>
  <si>
    <t>N+5</t>
  </si>
  <si>
    <t>N+6</t>
  </si>
  <si>
    <t>TERRAIN</t>
  </si>
  <si>
    <t>CONSTRUCT°</t>
  </si>
  <si>
    <t>ITMO</t>
  </si>
  <si>
    <t>ÉTUDES TECHNIQUES</t>
  </si>
  <si>
    <t>BFR ADDITIONNELS</t>
  </si>
  <si>
    <t>TOTAL DEPENSES</t>
  </si>
  <si>
    <t>COEF D'ACT</t>
  </si>
  <si>
    <t>DEPENSES ACTUALISEES</t>
  </si>
  <si>
    <t>DI</t>
  </si>
  <si>
    <t>BFR = 45 JCAHT</t>
  </si>
  <si>
    <t>QUANTITÉ</t>
  </si>
  <si>
    <t>PVU</t>
  </si>
  <si>
    <t>CAHT</t>
  </si>
  <si>
    <t>BFR</t>
  </si>
  <si>
    <t>VAR BFR</t>
  </si>
  <si>
    <t>KDH</t>
  </si>
  <si>
    <t>CALCUL DES CF NETS D'EXPLOITAT°</t>
  </si>
  <si>
    <t>(EN KDH)</t>
  </si>
  <si>
    <t>CHARGES VARIABLES</t>
  </si>
  <si>
    <t>CHARGES DE STRUCTURE</t>
  </si>
  <si>
    <t>DOTATIONS AUX AMORT :</t>
  </si>
  <si>
    <t xml:space="preserve">       DES CONSTRUCT°</t>
  </si>
  <si>
    <t xml:space="preserve">       DES ITMO</t>
  </si>
  <si>
    <t xml:space="preserve">       DES FRAIS D'ÉTUDE TEC</t>
  </si>
  <si>
    <t>REX AVANT IS</t>
  </si>
  <si>
    <t>IS (30%)</t>
  </si>
  <si>
    <t>REX APRÈS IS</t>
  </si>
  <si>
    <t xml:space="preserve">DOTATIONS AUX AMORT </t>
  </si>
  <si>
    <t>CF NETS D'EXPLOITAT°</t>
  </si>
  <si>
    <t>CALCUL DE LA VALEUR TERMINALE</t>
  </si>
  <si>
    <t xml:space="preserve">  VR = (VNA DES ACTIFS DU PROJET + VAL CAPITALISÉE DU CF5)/2</t>
  </si>
  <si>
    <t>VNA :</t>
  </si>
  <si>
    <t xml:space="preserve">      DES CONSTRUCT°</t>
  </si>
  <si>
    <t>45000-(3000*5)</t>
  </si>
  <si>
    <t xml:space="preserve">      DES ITMO</t>
  </si>
  <si>
    <t>36000-(6000*5)</t>
  </si>
  <si>
    <t xml:space="preserve">      DU TERRAIN</t>
  </si>
  <si>
    <t>TOTAL VNA</t>
  </si>
  <si>
    <t>VC DU CF (N+6)</t>
  </si>
  <si>
    <t>56805,52*(1,14)^5</t>
  </si>
  <si>
    <t>VR =47121,66+109374,18/2</t>
  </si>
  <si>
    <t>ÉVALUATION DE LA RENTABILITÉ ÉCONOMIQUE DU PROJET</t>
  </si>
  <si>
    <t>VAN =-DI+SOMME CFA</t>
  </si>
  <si>
    <t>VR</t>
  </si>
  <si>
    <t>CFA</t>
  </si>
  <si>
    <t>SOMME CFA</t>
  </si>
  <si>
    <t xml:space="preserve">VAN </t>
  </si>
  <si>
    <t>kdh</t>
  </si>
  <si>
    <t>C/C : VAN POSITIVE. DONC PROJET OPPORTUN</t>
  </si>
  <si>
    <t>IP</t>
  </si>
  <si>
    <t>ARBITRAGE ENTRE (ATF/EMP) &amp; LLD</t>
  </si>
  <si>
    <t>1ERE PROPOSIT° :ATF+EMP</t>
  </si>
  <si>
    <t>A1</t>
  </si>
  <si>
    <t>A2</t>
  </si>
  <si>
    <t>A3</t>
  </si>
  <si>
    <t>A4</t>
  </si>
  <si>
    <t>A5</t>
  </si>
  <si>
    <t>ATF</t>
  </si>
  <si>
    <t>TABLEAU DES DNA</t>
  </si>
  <si>
    <t>INTERETS</t>
  </si>
  <si>
    <t>AMORT EMP</t>
  </si>
  <si>
    <t>D BRUTS</t>
  </si>
  <si>
    <t>EMP</t>
  </si>
  <si>
    <t>TAUX</t>
  </si>
  <si>
    <t>REMB IN FINE</t>
  </si>
  <si>
    <t>ÉCO D'IS SUR</t>
  </si>
  <si>
    <t>DOTAT°</t>
  </si>
  <si>
    <t>DNETS</t>
  </si>
  <si>
    <t>DNA</t>
  </si>
  <si>
    <t>DNA (A1) = 6000*1,12^0 + (3000-900_1800)*1,12^-1</t>
  </si>
  <si>
    <t>SOMME DES DNA</t>
  </si>
  <si>
    <t>2ÈME PROPOSIT° : LLD</t>
  </si>
  <si>
    <t>LOYERS (DB)</t>
  </si>
  <si>
    <t>ECO IS/LOY</t>
  </si>
  <si>
    <t>SOMME DNA</t>
  </si>
  <si>
    <t>C/C : SOMME DNA LLD &lt; SOMME DNA ATF+EMP. DONC LA LLD EST MOINS COUTEUSE . ON OPTE POR LA LLD</t>
  </si>
  <si>
    <t>PLAN DE FINANCEMENT</t>
  </si>
  <si>
    <t>PRÉALABLE : CALCUL DES APRES FF ET IS SACHANT QUE LES ITMO SERONT FINANCÉS EN LLD</t>
  </si>
  <si>
    <t>CONSESQUENCES DE CETTE DÉCISION : PAS DE DOTAT° AUX AMORT DES ITMO &amp; LES LOYERS SONT ASSIMOLÉS A DES FF</t>
  </si>
  <si>
    <t xml:space="preserve">RES AVANT FF &amp; IS </t>
  </si>
  <si>
    <t>RAJOUT DES DOTAT° ITMO</t>
  </si>
  <si>
    <t>LOYERS</t>
  </si>
  <si>
    <t xml:space="preserve">RES APRÈS FF &amp; AVANT IS </t>
  </si>
  <si>
    <t xml:space="preserve">RES APRÈS FF &amp; IS </t>
  </si>
  <si>
    <t>CF APRÈS FF &amp; IS</t>
  </si>
  <si>
    <t xml:space="preserve"> (dotat° relatives aux constructiond et frais d'études)</t>
  </si>
  <si>
    <t>CF APRES FF &amp; IS = CF AVANT FF AP &amp; IS - LOYERS*(1-TIS) - (DOTAT°AUX AMORT DES ITMO*TIS)</t>
  </si>
  <si>
    <t xml:space="preserve">OU </t>
  </si>
  <si>
    <t>PAR EX : 24460 - 8000*70% - 6000*30%</t>
  </si>
  <si>
    <t>CESSION &amp; RÉDUCT° D'IMMO</t>
  </si>
  <si>
    <t>AUGMENTAT° DE CAPITAL</t>
  </si>
  <si>
    <t>EMPRUNTS NOUVEAUX</t>
  </si>
  <si>
    <t>TOTAL. RS</t>
  </si>
  <si>
    <t xml:space="preserve">DIVIDENDES </t>
  </si>
  <si>
    <t>ETUDES TECHNIQUES</t>
  </si>
  <si>
    <t>REMBOURSEMENT DE DETTES</t>
  </si>
  <si>
    <t xml:space="preserve">TOTAL ES </t>
  </si>
  <si>
    <t>ECART DE TRÉSORERIE</t>
  </si>
  <si>
    <t>SOLDE INITIAL DE TRÉSORERIE</t>
  </si>
  <si>
    <t>SOLDE FINAL DE TRÉSORERIE</t>
  </si>
  <si>
    <t xml:space="preserve">LE PF RESSORT UN SOLDE DE TRÉSORERIE CUMULÉ LARGEMENT POSITIF. L'INVESTISSEMENT PROJETÉ EST GLOBALEMENT INTÉRESSANT </t>
  </si>
  <si>
    <t>1) CALCUL DU TAUX D'ACTUALISATION</t>
  </si>
  <si>
    <t>NB. D'APRÈS L'ÉNONCÉ, ON RETIENDRA COMME TAUX D'ACTUALISATION LE TAUX DE RENDEMENT EXIGÉ PAR</t>
  </si>
  <si>
    <t>LES ACTIONNAIRES (Kcp) à déterminer selon le MEDAF</t>
  </si>
  <si>
    <t xml:space="preserve">RAPPEL DU MEDAF : KCP = Rf + β*(Rm - Rf).  Sachant que β = Cov (Rv;Rm)/Var(Rm) </t>
  </si>
  <si>
    <t>ON À : Rf = 5%; Rm = 8,5%; Var(Rm) = 12%; Cov(Rv;Rm) =. 24%</t>
  </si>
  <si>
    <t xml:space="preserve">       kcp = 5% + (24%/12%)*(8,5% - 5%) =</t>
  </si>
  <si>
    <t>ÉLÉMENTS DE LA DI</t>
  </si>
  <si>
    <t>TERRAIN*</t>
  </si>
  <si>
    <t>* VA (TERRAIN) = VE*(1+c)^n    Sachant que c = 12% +2% , soit 14%</t>
  </si>
  <si>
    <t xml:space="preserve">     VA (TERRAIN) = 3000*(1,14)^10</t>
  </si>
  <si>
    <t>CONSTRUCTIONS</t>
  </si>
  <si>
    <t>FRAIS D'ÉTUDES TECHNIQUES</t>
  </si>
  <si>
    <t>BFR ADDITIONNEL</t>
  </si>
  <si>
    <t>DÉPENSES ACTUALISÉES</t>
  </si>
  <si>
    <t>ON À BFR = 45 JCAHT</t>
  </si>
  <si>
    <t>QUANTITÉS À VENDRE</t>
  </si>
  <si>
    <t>CAHT (EN DH)</t>
  </si>
  <si>
    <t>2) CALCUL DE LA DI (en kdh)</t>
  </si>
  <si>
    <t xml:space="preserve">BFR </t>
  </si>
  <si>
    <t>VARIATION BFR</t>
  </si>
  <si>
    <t>TAB DE CALCUL DU BFR</t>
  </si>
  <si>
    <t>3) CALCUL DES CFNETS D'EXPLOITAT°</t>
  </si>
  <si>
    <t xml:space="preserve">CAHT </t>
  </si>
  <si>
    <t>EN KDH</t>
  </si>
  <si>
    <t>DOTAT° AUX AMORT :</t>
  </si>
  <si>
    <t xml:space="preserve">     DES CONSTRUCT°</t>
  </si>
  <si>
    <t xml:space="preserve">     DES ITMO</t>
  </si>
  <si>
    <t xml:space="preserve">     DES FRAIS D'ÉTUDES</t>
  </si>
  <si>
    <t>REX NET</t>
  </si>
  <si>
    <t xml:space="preserve">DOTAT° AUX AMORT </t>
  </si>
  <si>
    <t>CFNETS D'EXPLOITAT°</t>
  </si>
  <si>
    <t>VR = VNC DES IMMO + CF(N+6)*(1+C)^5</t>
  </si>
  <si>
    <t>VNC DES IMMO DU PROJETS</t>
  </si>
  <si>
    <t>VNC TERRAIN</t>
  </si>
  <si>
    <t>VNC CONSTRUCT°</t>
  </si>
  <si>
    <t>VNC DES ITMO</t>
  </si>
  <si>
    <t>TOTAL VNC DES IMMO</t>
  </si>
  <si>
    <t>VR =56805,52*(1,14)^5</t>
  </si>
  <si>
    <t xml:space="preserve">   VT = (VP + VR)/2</t>
  </si>
  <si>
    <t>CALCUL DE LA VT</t>
  </si>
  <si>
    <t xml:space="preserve">  DONC VT</t>
  </si>
  <si>
    <t>(47121,66+109374,18)/2</t>
  </si>
  <si>
    <t>VT</t>
  </si>
  <si>
    <t xml:space="preserve">  VP: VALEUR PATRIMONIALE; VR : VALEUR DE RENDEMENT</t>
  </si>
  <si>
    <t>4) ÉVALUATION DE LA RENTABILITÉ DU PROJET</t>
  </si>
  <si>
    <t xml:space="preserve">    VALEUR TERMINALE</t>
  </si>
  <si>
    <t xml:space="preserve">    COEF D'ACT</t>
  </si>
  <si>
    <t>SOMME DES CFA</t>
  </si>
  <si>
    <t>VAN DU PROJET</t>
  </si>
  <si>
    <t>C/C : VAN LARGEMENT POSITIVE, DONC PROJET INTÉRESSANT</t>
  </si>
  <si>
    <t>5) ARBITRAGE LLD/EMPRUNT</t>
  </si>
  <si>
    <t>1ÈRE FORMULE : LLD</t>
  </si>
  <si>
    <t>ÉCO D'IS/LOY</t>
  </si>
  <si>
    <t>SOMME DNA LLD</t>
  </si>
  <si>
    <t>2ÈME FORMULE : ATF+EMP</t>
  </si>
  <si>
    <t>EMPRUNT</t>
  </si>
  <si>
    <t>TAUX : 10%</t>
  </si>
  <si>
    <t>REMB in fine</t>
  </si>
  <si>
    <t>INTÉRÊTS</t>
  </si>
  <si>
    <t>ÉCO FISCALE SUR</t>
  </si>
  <si>
    <t>DNA (A1) = 6000*1,12^0 + (3000-900-1800)*1,12^-1</t>
  </si>
  <si>
    <t>PLAN DE FINANCEMENT DU PROJET</t>
  </si>
  <si>
    <t>C/C : ON A DNA LLD &lt; DNA ATF+EMP   DONC ON OPTE POUR LA LLD POUR LE FINANCEMENT DES ITMO</t>
  </si>
  <si>
    <t>CALCULS PRÉALABLES : DÉTERMINATION DES CF APRÈS FF ET IS SACHANT QU'ON OPTE POUR LA LLD</t>
  </si>
  <si>
    <t>RAJOUT DOTAT°DES ITMO</t>
  </si>
  <si>
    <t>DEDUCT° LOYERS (FF)</t>
  </si>
  <si>
    <t>RESULTAT AP FF AV IS</t>
  </si>
  <si>
    <t>IS</t>
  </si>
  <si>
    <t>RESULTAT AP FF &amp; IS</t>
  </si>
  <si>
    <t>DOTAT° CONST</t>
  </si>
  <si>
    <t>DOTAT° DES FRAIS D'ETUDES</t>
  </si>
  <si>
    <t>CF APRES FF ET IS</t>
  </si>
  <si>
    <t>OU CF AP FF &amp; IS = CFNET D'EXPLOITAT° - ECO FISCALE SUR DOTAT° ITMO - LOYERS (1-TIS)</t>
  </si>
  <si>
    <t>CFNETS</t>
  </si>
  <si>
    <t>ECO D'IS SUR DOTAT° ITMO</t>
  </si>
  <si>
    <t>6000*30%</t>
  </si>
  <si>
    <t>LOYERS NETS D'IS</t>
  </si>
  <si>
    <t>CF APRES FF &amp; IS</t>
  </si>
  <si>
    <t>TAB DE CALCUL DU CFAPFF&amp;IS</t>
  </si>
  <si>
    <t>CAF (OU CF AP FF &amp; IS)</t>
  </si>
  <si>
    <t>AUG DE CP</t>
  </si>
  <si>
    <t>CESSION &amp; REDUCT° D'ACTIFS</t>
  </si>
  <si>
    <t>TOTAL RS</t>
  </si>
  <si>
    <t>DIVIDENDES*</t>
  </si>
  <si>
    <t>* 4158 = 13860*30%</t>
  </si>
  <si>
    <t>RÉALISAT° CONSTRUCT°</t>
  </si>
  <si>
    <t>FRAIS D'ETUDES TECHNIQUES</t>
  </si>
  <si>
    <t>REMBOURSEMENT DE DF</t>
  </si>
  <si>
    <t>TOTAL ES</t>
  </si>
  <si>
    <t>ECARTS DE TRESORERIE</t>
  </si>
  <si>
    <t>SOLDE INITIAL DE TRESORERIE</t>
  </si>
  <si>
    <t>SOLDE FINAL DE TRESORERIE</t>
  </si>
  <si>
    <t>C/C : LE SOLDE GLOBAL DE TRESORERIE DU PROJET EST LARGEMENT EXCEDENTAIRE. LE PROJET EST</t>
  </si>
  <si>
    <t>DONC GLOBALEMENT OPPORTUN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</si>
</sst>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9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Border="1"/>
    <xf numFmtId="0" fontId="0" fillId="0" borderId="4" xfId="0" applyBorder="1"/>
    <xf numFmtId="0" fontId="1" fillId="2" borderId="4" xfId="0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Alignment="1">
      <alignment horizontal="right"/>
    </xf>
    <xf numFmtId="2" fontId="3" fillId="2" borderId="8" xfId="0" applyNumberFormat="1" applyFont="1" applyFill="1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0" xfId="0" applyFont="1"/>
    <xf numFmtId="9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0" fillId="2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7877D-00BF-2447-B8C7-9AB1F21BA3CD}">
  <dimension ref="A1:J103"/>
  <sheetViews>
    <sheetView tabSelected="1" zoomScale="230" zoomScaleNormal="230" workbookViewId="0">
      <selection activeCell="C99" sqref="C99"/>
    </sheetView>
  </sheetViews>
  <sheetFormatPr baseColWidth="10" defaultRowHeight="16" x14ac:dyDescent="0.2"/>
  <cols>
    <col min="1" max="1" width="26.33203125" customWidth="1"/>
    <col min="2" max="2" width="9.33203125" customWidth="1"/>
    <col min="3" max="3" width="9.1640625" bestFit="1" customWidth="1"/>
    <col min="4" max="4" width="9.5" customWidth="1"/>
    <col min="5" max="5" width="9.1640625" bestFit="1" customWidth="1"/>
    <col min="6" max="6" width="9.33203125" customWidth="1"/>
    <col min="9" max="9" width="11.6640625" bestFit="1" customWidth="1"/>
  </cols>
  <sheetData>
    <row r="1" spans="1:7" x14ac:dyDescent="0.2">
      <c r="A1" s="3" t="s">
        <v>0</v>
      </c>
    </row>
    <row r="2" spans="1:7" x14ac:dyDescent="0.2">
      <c r="A2" t="s">
        <v>1</v>
      </c>
      <c r="B2" s="1">
        <v>0.12</v>
      </c>
    </row>
    <row r="3" spans="1:7" x14ac:dyDescent="0.2">
      <c r="A3" s="2" t="s">
        <v>2</v>
      </c>
    </row>
    <row r="4" spans="1:7" x14ac:dyDescent="0.2">
      <c r="A4" s="5"/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</row>
    <row r="5" spans="1:7" x14ac:dyDescent="0.2">
      <c r="A5" s="5" t="s">
        <v>9</v>
      </c>
      <c r="B5" s="5">
        <v>11121.66</v>
      </c>
      <c r="C5" s="5"/>
      <c r="D5" s="5"/>
      <c r="E5" s="5"/>
      <c r="F5" s="5"/>
      <c r="G5" s="5"/>
    </row>
    <row r="6" spans="1:7" x14ac:dyDescent="0.2">
      <c r="A6" s="5" t="s">
        <v>10</v>
      </c>
      <c r="B6" s="5">
        <v>22500</v>
      </c>
      <c r="C6" s="5">
        <v>22500</v>
      </c>
      <c r="D6" s="5"/>
      <c r="E6" s="5"/>
      <c r="F6" s="5"/>
      <c r="G6" s="5"/>
    </row>
    <row r="7" spans="1:7" x14ac:dyDescent="0.2">
      <c r="A7" s="5" t="s">
        <v>11</v>
      </c>
      <c r="B7" s="5"/>
      <c r="C7" s="5">
        <v>36000</v>
      </c>
      <c r="D7" s="5"/>
      <c r="E7" s="5"/>
      <c r="F7" s="5"/>
      <c r="G7" s="5"/>
    </row>
    <row r="8" spans="1:7" x14ac:dyDescent="0.2">
      <c r="A8" s="5" t="s">
        <v>12</v>
      </c>
      <c r="B8" s="5"/>
      <c r="C8" s="5">
        <v>600</v>
      </c>
      <c r="D8" s="5"/>
      <c r="E8" s="5"/>
      <c r="F8" s="5"/>
      <c r="G8" s="5"/>
    </row>
    <row r="9" spans="1:7" x14ac:dyDescent="0.2">
      <c r="A9" s="5" t="s">
        <v>13</v>
      </c>
      <c r="B9" s="5"/>
      <c r="C9" s="5">
        <f>B20/1000</f>
        <v>6250</v>
      </c>
      <c r="D9" s="5">
        <f t="shared" ref="D9:G9" si="0">C20/1000</f>
        <v>2000</v>
      </c>
      <c r="E9" s="5">
        <f t="shared" si="0"/>
        <v>1650</v>
      </c>
      <c r="F9" s="5">
        <f t="shared" si="0"/>
        <v>1485</v>
      </c>
      <c r="G9" s="5">
        <f t="shared" si="0"/>
        <v>1707.75</v>
      </c>
    </row>
    <row r="10" spans="1:7" x14ac:dyDescent="0.2">
      <c r="A10" s="5" t="s">
        <v>14</v>
      </c>
      <c r="B10" s="5">
        <f>SUM(B5:B9)</f>
        <v>33621.660000000003</v>
      </c>
      <c r="C10" s="5">
        <f t="shared" ref="C10:G10" si="1">SUM(C5:C9)</f>
        <v>65350</v>
      </c>
      <c r="D10" s="5">
        <f t="shared" si="1"/>
        <v>2000</v>
      </c>
      <c r="E10" s="5">
        <f t="shared" si="1"/>
        <v>1650</v>
      </c>
      <c r="F10" s="5">
        <f t="shared" si="1"/>
        <v>1485</v>
      </c>
      <c r="G10" s="5">
        <f t="shared" si="1"/>
        <v>1707.75</v>
      </c>
    </row>
    <row r="11" spans="1:7" x14ac:dyDescent="0.2">
      <c r="A11" s="5" t="s">
        <v>15</v>
      </c>
      <c r="B11" s="5">
        <f>1.12^0</f>
        <v>1</v>
      </c>
      <c r="C11" s="7">
        <f>1.12^-1</f>
        <v>0.89285714285714279</v>
      </c>
      <c r="D11" s="7">
        <f>1.12^-2</f>
        <v>0.79719387755102034</v>
      </c>
      <c r="E11" s="7">
        <f>1.12^-3</f>
        <v>0.71178024781341087</v>
      </c>
      <c r="F11" s="7">
        <f>1.12^-4</f>
        <v>0.63551807840483121</v>
      </c>
      <c r="G11" s="7">
        <f>1.12^-5</f>
        <v>0.56742685571859919</v>
      </c>
    </row>
    <row r="12" spans="1:7" x14ac:dyDescent="0.2">
      <c r="A12" s="5" t="s">
        <v>16</v>
      </c>
      <c r="B12" s="8">
        <f>B10*B11</f>
        <v>33621.660000000003</v>
      </c>
      <c r="C12" s="8">
        <f t="shared" ref="C12:G12" si="2">C10*C11</f>
        <v>58348.214285714283</v>
      </c>
      <c r="D12" s="8">
        <f t="shared" si="2"/>
        <v>1594.3877551020407</v>
      </c>
      <c r="E12" s="8">
        <f t="shared" si="2"/>
        <v>1174.4374088921279</v>
      </c>
      <c r="F12" s="8">
        <f t="shared" si="2"/>
        <v>943.74434643117434</v>
      </c>
      <c r="G12" s="8">
        <f t="shared" si="2"/>
        <v>969.02321285343771</v>
      </c>
    </row>
    <row r="13" spans="1:7" x14ac:dyDescent="0.2">
      <c r="A13" s="9" t="s">
        <v>17</v>
      </c>
      <c r="B13" s="10">
        <f>SUM(B12:G12)</f>
        <v>96651.467008993088</v>
      </c>
      <c r="C13" t="s">
        <v>24</v>
      </c>
    </row>
    <row r="15" spans="1:7" x14ac:dyDescent="0.2">
      <c r="A15" t="s">
        <v>18</v>
      </c>
      <c r="B15" s="6" t="s">
        <v>4</v>
      </c>
      <c r="C15" s="6" t="s">
        <v>5</v>
      </c>
      <c r="D15" s="6" t="s">
        <v>6</v>
      </c>
      <c r="E15" s="6" t="s">
        <v>7</v>
      </c>
      <c r="F15" s="6" t="s">
        <v>8</v>
      </c>
    </row>
    <row r="16" spans="1:7" x14ac:dyDescent="0.2">
      <c r="A16" s="5" t="s">
        <v>19</v>
      </c>
      <c r="B16" s="5">
        <v>10000</v>
      </c>
      <c r="C16" s="5">
        <f>B16*1.2</f>
        <v>12000</v>
      </c>
      <c r="D16" s="5">
        <f>C16*1.2</f>
        <v>14400</v>
      </c>
      <c r="E16" s="5">
        <f>D16*1.15</f>
        <v>16560</v>
      </c>
      <c r="F16" s="5">
        <f>E16*1.15</f>
        <v>19044</v>
      </c>
    </row>
    <row r="17" spans="1:6" x14ac:dyDescent="0.2">
      <c r="A17" s="5" t="s">
        <v>20</v>
      </c>
      <c r="B17" s="5">
        <v>5000</v>
      </c>
      <c r="C17" s="5">
        <f>B17*1.1</f>
        <v>5500</v>
      </c>
      <c r="D17" s="5">
        <v>5500</v>
      </c>
      <c r="E17" s="5">
        <v>5500</v>
      </c>
      <c r="F17" s="5">
        <v>5500</v>
      </c>
    </row>
    <row r="18" spans="1:6" x14ac:dyDescent="0.2">
      <c r="A18" s="5" t="s">
        <v>21</v>
      </c>
      <c r="B18" s="5">
        <f>B16*B17</f>
        <v>50000000</v>
      </c>
      <c r="C18" s="5">
        <f t="shared" ref="C18:F18" si="3">C16*C17</f>
        <v>66000000</v>
      </c>
      <c r="D18" s="5">
        <f t="shared" si="3"/>
        <v>79200000</v>
      </c>
      <c r="E18" s="5">
        <f t="shared" si="3"/>
        <v>91080000</v>
      </c>
      <c r="F18" s="5">
        <f t="shared" si="3"/>
        <v>104742000</v>
      </c>
    </row>
    <row r="19" spans="1:6" x14ac:dyDescent="0.2">
      <c r="A19" s="5" t="s">
        <v>22</v>
      </c>
      <c r="B19" s="5">
        <f>B18*45/360</f>
        <v>6250000</v>
      </c>
      <c r="C19" s="5">
        <f t="shared" ref="C19:F19" si="4">C18*45/360</f>
        <v>8250000</v>
      </c>
      <c r="D19" s="5">
        <f t="shared" si="4"/>
        <v>9900000</v>
      </c>
      <c r="E19" s="5">
        <f t="shared" si="4"/>
        <v>11385000</v>
      </c>
      <c r="F19" s="5">
        <f t="shared" si="4"/>
        <v>13092750</v>
      </c>
    </row>
    <row r="20" spans="1:6" x14ac:dyDescent="0.2">
      <c r="A20" s="5" t="s">
        <v>23</v>
      </c>
      <c r="B20" s="12">
        <f>B19</f>
        <v>6250000</v>
      </c>
      <c r="C20" s="12">
        <f>C19-B19</f>
        <v>2000000</v>
      </c>
      <c r="D20" s="12">
        <f t="shared" ref="D20:F20" si="5">D19-C19</f>
        <v>1650000</v>
      </c>
      <c r="E20" s="12">
        <f t="shared" si="5"/>
        <v>1485000</v>
      </c>
      <c r="F20" s="12">
        <f t="shared" si="5"/>
        <v>1707750</v>
      </c>
    </row>
    <row r="21" spans="1:6" x14ac:dyDescent="0.2">
      <c r="A21" s="14" t="s">
        <v>25</v>
      </c>
      <c r="C21" t="s">
        <v>26</v>
      </c>
    </row>
    <row r="22" spans="1:6" x14ac:dyDescent="0.2">
      <c r="B22" s="15" t="s">
        <v>4</v>
      </c>
      <c r="C22" s="15" t="s">
        <v>5</v>
      </c>
      <c r="D22" s="15" t="s">
        <v>6</v>
      </c>
      <c r="E22" s="15" t="s">
        <v>7</v>
      </c>
      <c r="F22" s="15" t="s">
        <v>8</v>
      </c>
    </row>
    <row r="23" spans="1:6" x14ac:dyDescent="0.2">
      <c r="A23" s="5" t="s">
        <v>21</v>
      </c>
      <c r="B23" s="5">
        <f>B18/1000</f>
        <v>50000</v>
      </c>
      <c r="C23" s="5">
        <f t="shared" ref="C23:F23" si="6">C18/1000</f>
        <v>66000</v>
      </c>
      <c r="D23" s="5">
        <f t="shared" si="6"/>
        <v>79200</v>
      </c>
      <c r="E23" s="5">
        <f t="shared" si="6"/>
        <v>91080</v>
      </c>
      <c r="F23" s="5">
        <f t="shared" si="6"/>
        <v>104742</v>
      </c>
    </row>
    <row r="24" spans="1:6" x14ac:dyDescent="0.2">
      <c r="A24" s="5" t="s">
        <v>27</v>
      </c>
      <c r="B24" s="5">
        <f>B23*25%</f>
        <v>12500</v>
      </c>
      <c r="C24" s="5">
        <f>C23*25%</f>
        <v>16500</v>
      </c>
      <c r="D24" s="5">
        <f>D23*20%</f>
        <v>15840</v>
      </c>
      <c r="E24" s="5">
        <f>E23*20%</f>
        <v>18216</v>
      </c>
      <c r="F24" s="5">
        <f>F23*20%</f>
        <v>20948.400000000001</v>
      </c>
    </row>
    <row r="25" spans="1:6" x14ac:dyDescent="0.2">
      <c r="A25" s="5" t="s">
        <v>28</v>
      </c>
      <c r="B25" s="5">
        <v>6500</v>
      </c>
      <c r="C25" s="5">
        <v>6500</v>
      </c>
      <c r="D25" s="5">
        <v>6500</v>
      </c>
      <c r="E25" s="5">
        <v>6500</v>
      </c>
      <c r="F25" s="5">
        <v>6500</v>
      </c>
    </row>
    <row r="26" spans="1:6" x14ac:dyDescent="0.2">
      <c r="A26" s="5" t="s">
        <v>29</v>
      </c>
      <c r="B26" s="5"/>
      <c r="C26" s="5"/>
      <c r="D26" s="5"/>
      <c r="E26" s="5"/>
      <c r="F26" s="5"/>
    </row>
    <row r="27" spans="1:6" x14ac:dyDescent="0.2">
      <c r="A27" s="5" t="s">
        <v>30</v>
      </c>
      <c r="B27" s="5">
        <f>45000/15</f>
        <v>3000</v>
      </c>
      <c r="C27" s="5">
        <f t="shared" ref="C27:F27" si="7">45000/15</f>
        <v>3000</v>
      </c>
      <c r="D27" s="5">
        <f t="shared" si="7"/>
        <v>3000</v>
      </c>
      <c r="E27" s="5">
        <f t="shared" si="7"/>
        <v>3000</v>
      </c>
      <c r="F27" s="5">
        <f t="shared" si="7"/>
        <v>3000</v>
      </c>
    </row>
    <row r="28" spans="1:6" x14ac:dyDescent="0.2">
      <c r="A28" s="5" t="s">
        <v>31</v>
      </c>
      <c r="B28" s="5">
        <f>36000/6</f>
        <v>6000</v>
      </c>
      <c r="C28" s="5">
        <f t="shared" ref="C28:E28" si="8">36000/6</f>
        <v>6000</v>
      </c>
      <c r="D28" s="5">
        <f t="shared" si="8"/>
        <v>6000</v>
      </c>
      <c r="E28" s="5">
        <f t="shared" si="8"/>
        <v>6000</v>
      </c>
      <c r="F28" s="5">
        <f>36000/6</f>
        <v>6000</v>
      </c>
    </row>
    <row r="29" spans="1:6" x14ac:dyDescent="0.2">
      <c r="A29" s="5" t="s">
        <v>32</v>
      </c>
      <c r="B29" s="5">
        <f>600/3</f>
        <v>200</v>
      </c>
      <c r="C29" s="5">
        <f t="shared" ref="C29:D29" si="9">600/3</f>
        <v>200</v>
      </c>
      <c r="D29" s="5">
        <f t="shared" si="9"/>
        <v>200</v>
      </c>
      <c r="E29" s="5"/>
      <c r="F29" s="5"/>
    </row>
    <row r="30" spans="1:6" x14ac:dyDescent="0.2">
      <c r="A30" s="5" t="s">
        <v>33</v>
      </c>
      <c r="B30" s="5">
        <f>B23-B24-B25-B27-B28-B29</f>
        <v>21800</v>
      </c>
      <c r="C30" s="5">
        <f t="shared" ref="C30:F30" si="10">C23-C24-C25-C27-C28-C29</f>
        <v>33800</v>
      </c>
      <c r="D30" s="5">
        <f t="shared" si="10"/>
        <v>47660</v>
      </c>
      <c r="E30" s="5">
        <f t="shared" si="10"/>
        <v>57364</v>
      </c>
      <c r="F30" s="5">
        <f t="shared" si="10"/>
        <v>68293.600000000006</v>
      </c>
    </row>
    <row r="31" spans="1:6" x14ac:dyDescent="0.2">
      <c r="A31" s="5" t="s">
        <v>34</v>
      </c>
      <c r="B31" s="5">
        <f>B30*30%</f>
        <v>6540</v>
      </c>
      <c r="C31" s="5">
        <f t="shared" ref="C31:F31" si="11">C30*30%</f>
        <v>10140</v>
      </c>
      <c r="D31" s="5">
        <f t="shared" si="11"/>
        <v>14298</v>
      </c>
      <c r="E31" s="5">
        <f t="shared" si="11"/>
        <v>17209.2</v>
      </c>
      <c r="F31" s="5">
        <f t="shared" si="11"/>
        <v>20488.080000000002</v>
      </c>
    </row>
    <row r="32" spans="1:6" x14ac:dyDescent="0.2">
      <c r="A32" s="5" t="s">
        <v>35</v>
      </c>
      <c r="B32" s="5">
        <f>B30-B31</f>
        <v>15260</v>
      </c>
      <c r="C32" s="5">
        <f t="shared" ref="C32:F32" si="12">C30-C31</f>
        <v>23660</v>
      </c>
      <c r="D32" s="5">
        <f t="shared" si="12"/>
        <v>33362</v>
      </c>
      <c r="E32" s="5">
        <f t="shared" si="12"/>
        <v>40154.800000000003</v>
      </c>
      <c r="F32" s="5">
        <f t="shared" si="12"/>
        <v>47805.520000000004</v>
      </c>
    </row>
    <row r="33" spans="1:6" x14ac:dyDescent="0.2">
      <c r="A33" s="5" t="s">
        <v>36</v>
      </c>
      <c r="B33" s="5">
        <f>B27+B28+B29</f>
        <v>9200</v>
      </c>
      <c r="C33" s="5">
        <f t="shared" ref="C33:F33" si="13">C27+C28+C29</f>
        <v>9200</v>
      </c>
      <c r="D33" s="5">
        <f t="shared" si="13"/>
        <v>9200</v>
      </c>
      <c r="E33" s="5">
        <f t="shared" si="13"/>
        <v>9000</v>
      </c>
      <c r="F33" s="5">
        <f t="shared" si="13"/>
        <v>9000</v>
      </c>
    </row>
    <row r="34" spans="1:6" x14ac:dyDescent="0.2">
      <c r="A34" s="9" t="s">
        <v>37</v>
      </c>
      <c r="B34" s="9">
        <f>B32+B33</f>
        <v>24460</v>
      </c>
      <c r="C34" s="9">
        <f t="shared" ref="C34:F34" si="14">C32+C33</f>
        <v>32860</v>
      </c>
      <c r="D34" s="9">
        <f t="shared" si="14"/>
        <v>42562</v>
      </c>
      <c r="E34" s="9">
        <f t="shared" si="14"/>
        <v>49154.8</v>
      </c>
      <c r="F34" s="9">
        <f t="shared" si="14"/>
        <v>56805.520000000004</v>
      </c>
    </row>
    <row r="35" spans="1:6" x14ac:dyDescent="0.2">
      <c r="A35" s="14" t="s">
        <v>38</v>
      </c>
    </row>
    <row r="36" spans="1:6" x14ac:dyDescent="0.2">
      <c r="A36" s="13" t="s">
        <v>39</v>
      </c>
    </row>
    <row r="37" spans="1:6" x14ac:dyDescent="0.2">
      <c r="A37" s="13" t="s">
        <v>40</v>
      </c>
    </row>
    <row r="38" spans="1:6" x14ac:dyDescent="0.2">
      <c r="A38" s="13" t="s">
        <v>41</v>
      </c>
      <c r="B38" t="s">
        <v>42</v>
      </c>
      <c r="D38" s="19">
        <f>45000-(3000*5)</f>
        <v>30000</v>
      </c>
    </row>
    <row r="39" spans="1:6" x14ac:dyDescent="0.2">
      <c r="A39" s="13" t="s">
        <v>43</v>
      </c>
      <c r="B39" t="s">
        <v>44</v>
      </c>
      <c r="D39" s="19">
        <v>6000</v>
      </c>
    </row>
    <row r="40" spans="1:6" x14ac:dyDescent="0.2">
      <c r="A40" s="13" t="s">
        <v>45</v>
      </c>
      <c r="D40" s="19">
        <f>B5</f>
        <v>11121.66</v>
      </c>
    </row>
    <row r="41" spans="1:6" x14ac:dyDescent="0.2">
      <c r="A41" s="16" t="s">
        <v>46</v>
      </c>
      <c r="B41" s="4">
        <f>D38+D39+D40</f>
        <v>47121.66</v>
      </c>
    </row>
    <row r="42" spans="1:6" x14ac:dyDescent="0.2">
      <c r="A42" s="16" t="s">
        <v>47</v>
      </c>
      <c r="B42" t="s">
        <v>48</v>
      </c>
      <c r="D42" s="17">
        <f>F34*1.14^5</f>
        <v>109374.17656881483</v>
      </c>
    </row>
    <row r="43" spans="1:6" x14ac:dyDescent="0.2">
      <c r="A43" s="9" t="s">
        <v>49</v>
      </c>
      <c r="B43" s="18">
        <f>(B41+D42)/2</f>
        <v>78247.918284407409</v>
      </c>
    </row>
    <row r="44" spans="1:6" x14ac:dyDescent="0.2">
      <c r="A44" s="2" t="s">
        <v>50</v>
      </c>
    </row>
    <row r="45" spans="1:6" x14ac:dyDescent="0.2">
      <c r="A45" t="s">
        <v>51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</row>
    <row r="46" spans="1:6" x14ac:dyDescent="0.2">
      <c r="A46" s="5" t="s">
        <v>37</v>
      </c>
      <c r="B46" s="5">
        <f>B34</f>
        <v>24460</v>
      </c>
      <c r="C46" s="5">
        <f t="shared" ref="C46:F46" si="15">C34</f>
        <v>32860</v>
      </c>
      <c r="D46" s="5">
        <f t="shared" si="15"/>
        <v>42562</v>
      </c>
      <c r="E46" s="5">
        <f t="shared" si="15"/>
        <v>49154.8</v>
      </c>
      <c r="F46" s="5">
        <f t="shared" si="15"/>
        <v>56805.520000000004</v>
      </c>
    </row>
    <row r="47" spans="1:6" x14ac:dyDescent="0.2">
      <c r="A47" s="5" t="s">
        <v>52</v>
      </c>
      <c r="B47" s="5"/>
      <c r="C47" s="5"/>
      <c r="D47" s="5"/>
      <c r="E47" s="5"/>
      <c r="F47" s="20">
        <f>B43</f>
        <v>78247.918284407409</v>
      </c>
    </row>
    <row r="48" spans="1:6" x14ac:dyDescent="0.2">
      <c r="A48" s="5" t="s">
        <v>15</v>
      </c>
      <c r="B48" s="7">
        <f>1.12^-2</f>
        <v>0.79719387755102034</v>
      </c>
      <c r="C48" s="7">
        <f>1.12^-3</f>
        <v>0.71178024781341087</v>
      </c>
      <c r="D48" s="7">
        <f>1.12^-4</f>
        <v>0.63551807840483121</v>
      </c>
      <c r="E48" s="7">
        <f>1.12^-5</f>
        <v>0.56742685571859919</v>
      </c>
      <c r="F48" s="7">
        <f>1.12^-6</f>
        <v>0.50663112117732068</v>
      </c>
    </row>
    <row r="49" spans="1:10" x14ac:dyDescent="0.2">
      <c r="A49" s="5" t="s">
        <v>53</v>
      </c>
      <c r="B49" s="20">
        <f>(B46+B47)*B48</f>
        <v>19499.362244897959</v>
      </c>
      <c r="C49" s="20">
        <f t="shared" ref="C49:F49" si="16">(C46+C47)*C48</f>
        <v>23389.098943148681</v>
      </c>
      <c r="D49" s="20">
        <f t="shared" si="16"/>
        <v>27048.920453066425</v>
      </c>
      <c r="E49" s="20">
        <f t="shared" si="16"/>
        <v>27891.753607476599</v>
      </c>
      <c r="F49" s="20">
        <f t="shared" si="16"/>
        <v>68422.274856881413</v>
      </c>
    </row>
    <row r="50" spans="1:10" x14ac:dyDescent="0.2">
      <c r="A50" s="22" t="s">
        <v>54</v>
      </c>
      <c r="B50" s="23">
        <f>SUM(B49:F49)</f>
        <v>166251.41010547109</v>
      </c>
    </row>
    <row r="51" spans="1:10" x14ac:dyDescent="0.2">
      <c r="A51" s="9" t="s">
        <v>55</v>
      </c>
      <c r="B51" s="18">
        <f>B50-B13</f>
        <v>69599.943096478004</v>
      </c>
      <c r="C51" t="s">
        <v>56</v>
      </c>
      <c r="D51" s="4" t="s">
        <v>58</v>
      </c>
      <c r="E51" s="17">
        <f>B50/B13</f>
        <v>1.7201126402975546</v>
      </c>
    </row>
    <row r="52" spans="1:10" x14ac:dyDescent="0.2">
      <c r="A52" s="21" t="s">
        <v>57</v>
      </c>
    </row>
    <row r="53" spans="1:10" x14ac:dyDescent="0.2">
      <c r="A53" s="26" t="s">
        <v>59</v>
      </c>
    </row>
    <row r="54" spans="1:10" x14ac:dyDescent="0.2">
      <c r="A54" s="2" t="s">
        <v>60</v>
      </c>
      <c r="C54" t="s">
        <v>71</v>
      </c>
      <c r="D54">
        <v>30000</v>
      </c>
      <c r="E54" t="s">
        <v>72</v>
      </c>
      <c r="F54" s="1">
        <v>0.1</v>
      </c>
      <c r="G54" t="s">
        <v>73</v>
      </c>
    </row>
    <row r="55" spans="1:10" x14ac:dyDescent="0.2">
      <c r="A55" s="2"/>
      <c r="F55" s="47" t="s">
        <v>74</v>
      </c>
      <c r="G55" s="48"/>
    </row>
    <row r="56" spans="1:10" x14ac:dyDescent="0.2">
      <c r="A56" s="2" t="s">
        <v>67</v>
      </c>
      <c r="B56" s="5" t="s">
        <v>66</v>
      </c>
      <c r="C56" s="5" t="s">
        <v>68</v>
      </c>
      <c r="D56" s="5" t="s">
        <v>69</v>
      </c>
      <c r="E56" s="5" t="s">
        <v>70</v>
      </c>
      <c r="F56" s="5" t="s">
        <v>68</v>
      </c>
      <c r="G56" s="5" t="s">
        <v>75</v>
      </c>
      <c r="H56" s="5" t="s">
        <v>76</v>
      </c>
      <c r="I56" s="24" t="s">
        <v>77</v>
      </c>
    </row>
    <row r="57" spans="1:10" x14ac:dyDescent="0.2">
      <c r="A57" s="27" t="s">
        <v>61</v>
      </c>
      <c r="B57" s="5">
        <v>6000</v>
      </c>
      <c r="C57" s="5">
        <f>30000*10%</f>
        <v>3000</v>
      </c>
      <c r="D57" s="5">
        <v>0</v>
      </c>
      <c r="E57" s="5">
        <f>B57+C57+D57</f>
        <v>9000</v>
      </c>
      <c r="F57" s="5">
        <f>C57*30%</f>
        <v>900</v>
      </c>
      <c r="G57" s="5">
        <f>6000*30%</f>
        <v>1800</v>
      </c>
      <c r="H57" s="5">
        <f>E57-F57-G57</f>
        <v>6300</v>
      </c>
      <c r="I57" s="24">
        <v>6267.86</v>
      </c>
    </row>
    <row r="58" spans="1:10" x14ac:dyDescent="0.2">
      <c r="A58" s="27" t="s">
        <v>62</v>
      </c>
      <c r="B58" s="5"/>
      <c r="C58" s="5">
        <f t="shared" ref="C58:C61" si="17">30000*10%</f>
        <v>3000</v>
      </c>
      <c r="D58" s="5">
        <v>0</v>
      </c>
      <c r="E58" s="5">
        <f t="shared" ref="E58:E61" si="18">B58+C58+D58</f>
        <v>3000</v>
      </c>
      <c r="F58" s="5">
        <f t="shared" ref="F58:F61" si="19">C58*30%</f>
        <v>900</v>
      </c>
      <c r="G58" s="5">
        <f t="shared" ref="G58:G61" si="20">6000*30%</f>
        <v>1800</v>
      </c>
      <c r="H58" s="5">
        <f t="shared" ref="H58:H61" si="21">E58-F58-G58</f>
        <v>300</v>
      </c>
      <c r="I58" s="25">
        <f>H58*1.12^-2</f>
        <v>239.15816326530609</v>
      </c>
    </row>
    <row r="59" spans="1:10" x14ac:dyDescent="0.2">
      <c r="A59" s="27" t="s">
        <v>63</v>
      </c>
      <c r="B59" s="5"/>
      <c r="C59" s="5">
        <f t="shared" si="17"/>
        <v>3000</v>
      </c>
      <c r="D59" s="5">
        <v>0</v>
      </c>
      <c r="E59" s="5">
        <f t="shared" si="18"/>
        <v>3000</v>
      </c>
      <c r="F59" s="5">
        <f t="shared" si="19"/>
        <v>900</v>
      </c>
      <c r="G59" s="5">
        <f t="shared" si="20"/>
        <v>1800</v>
      </c>
      <c r="H59" s="5">
        <f t="shared" si="21"/>
        <v>300</v>
      </c>
      <c r="I59" s="25">
        <f>H59*1.12^-3</f>
        <v>213.53407434402325</v>
      </c>
    </row>
    <row r="60" spans="1:10" x14ac:dyDescent="0.2">
      <c r="A60" s="27" t="s">
        <v>64</v>
      </c>
      <c r="B60" s="5"/>
      <c r="C60" s="5">
        <f t="shared" si="17"/>
        <v>3000</v>
      </c>
      <c r="D60" s="5">
        <v>0</v>
      </c>
      <c r="E60" s="5">
        <f t="shared" si="18"/>
        <v>3000</v>
      </c>
      <c r="F60" s="5">
        <f t="shared" si="19"/>
        <v>900</v>
      </c>
      <c r="G60" s="5">
        <f t="shared" si="20"/>
        <v>1800</v>
      </c>
      <c r="H60" s="5">
        <f t="shared" si="21"/>
        <v>300</v>
      </c>
      <c r="I60" s="25">
        <f>H60*1.12^-4</f>
        <v>190.65542352144936</v>
      </c>
    </row>
    <row r="61" spans="1:10" x14ac:dyDescent="0.2">
      <c r="A61" s="27" t="s">
        <v>65</v>
      </c>
      <c r="B61" s="5"/>
      <c r="C61" s="5">
        <f t="shared" si="17"/>
        <v>3000</v>
      </c>
      <c r="D61" s="5">
        <v>30000</v>
      </c>
      <c r="E61" s="5">
        <f t="shared" si="18"/>
        <v>33000</v>
      </c>
      <c r="F61" s="5">
        <f t="shared" si="19"/>
        <v>900</v>
      </c>
      <c r="G61" s="5">
        <f t="shared" si="20"/>
        <v>1800</v>
      </c>
      <c r="H61" s="5">
        <f t="shared" si="21"/>
        <v>30300</v>
      </c>
      <c r="I61" s="25">
        <f>H61*1.12^-5</f>
        <v>17193.033728273556</v>
      </c>
    </row>
    <row r="62" spans="1:10" x14ac:dyDescent="0.2">
      <c r="F62" s="49" t="s">
        <v>79</v>
      </c>
      <c r="G62" s="49"/>
      <c r="H62" s="49"/>
      <c r="I62" s="28">
        <f>SUM(I57:I61)</f>
        <v>24104.241389404335</v>
      </c>
      <c r="J62" t="s">
        <v>24</v>
      </c>
    </row>
    <row r="63" spans="1:10" x14ac:dyDescent="0.2">
      <c r="A63" t="s">
        <v>78</v>
      </c>
    </row>
    <row r="64" spans="1:10" x14ac:dyDescent="0.2">
      <c r="A64" s="27" t="s">
        <v>80</v>
      </c>
      <c r="B64" s="5" t="s">
        <v>81</v>
      </c>
      <c r="C64" s="5" t="s">
        <v>82</v>
      </c>
      <c r="D64" s="5" t="s">
        <v>76</v>
      </c>
      <c r="E64" s="32" t="s">
        <v>77</v>
      </c>
    </row>
    <row r="65" spans="1:8" x14ac:dyDescent="0.2">
      <c r="A65" s="27" t="s">
        <v>61</v>
      </c>
      <c r="B65" s="5">
        <v>8000</v>
      </c>
      <c r="C65" s="5">
        <f>B65*30%</f>
        <v>2400</v>
      </c>
      <c r="D65" s="30">
        <f>B65-C65</f>
        <v>5600</v>
      </c>
      <c r="E65" s="32">
        <f>D65*1.12^0</f>
        <v>5600</v>
      </c>
    </row>
    <row r="66" spans="1:8" x14ac:dyDescent="0.2">
      <c r="A66" s="27" t="s">
        <v>62</v>
      </c>
      <c r="B66" s="5">
        <v>8000</v>
      </c>
      <c r="C66" s="5">
        <f>B66*30%</f>
        <v>2400</v>
      </c>
      <c r="D66" s="30">
        <f>B66-C66</f>
        <v>5600</v>
      </c>
      <c r="E66" s="32">
        <f>D66*1.12^-1</f>
        <v>5000</v>
      </c>
    </row>
    <row r="67" spans="1:8" x14ac:dyDescent="0.2">
      <c r="A67" s="27" t="s">
        <v>63</v>
      </c>
      <c r="B67" s="5">
        <v>8000</v>
      </c>
      <c r="C67" s="5">
        <f>B67*30%</f>
        <v>2400</v>
      </c>
      <c r="D67" s="30">
        <f>B67-C67</f>
        <v>5600</v>
      </c>
      <c r="E67" s="33">
        <f>D67*1.12^-2</f>
        <v>4464.2857142857138</v>
      </c>
    </row>
    <row r="68" spans="1:8" x14ac:dyDescent="0.2">
      <c r="A68" s="27" t="s">
        <v>64</v>
      </c>
      <c r="B68" s="5">
        <v>8000</v>
      </c>
      <c r="C68" s="5">
        <f>B68*30%</f>
        <v>2400</v>
      </c>
      <c r="D68" s="30">
        <f>B68-C68</f>
        <v>5600</v>
      </c>
      <c r="E68" s="33">
        <f>D68*1.12^-3</f>
        <v>3985.9693877551008</v>
      </c>
    </row>
    <row r="69" spans="1:8" x14ac:dyDescent="0.2">
      <c r="A69" s="27" t="s">
        <v>65</v>
      </c>
      <c r="B69" s="5">
        <v>8000</v>
      </c>
      <c r="C69" s="5">
        <f>B69*30%</f>
        <v>2400</v>
      </c>
      <c r="D69" s="30">
        <f>B69-C69</f>
        <v>5600</v>
      </c>
      <c r="E69" s="33">
        <f>D69*1.12^-4</f>
        <v>3558.9012390670546</v>
      </c>
    </row>
    <row r="70" spans="1:8" x14ac:dyDescent="0.2">
      <c r="C70" s="50" t="s">
        <v>83</v>
      </c>
      <c r="D70" s="50"/>
      <c r="E70" s="31">
        <f>SUM(E65:E69)</f>
        <v>22609.156341107868</v>
      </c>
    </row>
    <row r="71" spans="1:8" x14ac:dyDescent="0.2">
      <c r="A71" s="51" t="s">
        <v>84</v>
      </c>
      <c r="B71" s="51"/>
      <c r="C71" s="51"/>
      <c r="D71" s="51"/>
      <c r="E71" s="51"/>
      <c r="F71" s="51"/>
      <c r="G71" s="51"/>
      <c r="H71" s="51"/>
    </row>
    <row r="72" spans="1:8" x14ac:dyDescent="0.2">
      <c r="A72" s="34" t="s">
        <v>85</v>
      </c>
    </row>
    <row r="73" spans="1:8" x14ac:dyDescent="0.2">
      <c r="A73" t="s">
        <v>86</v>
      </c>
    </row>
    <row r="74" spans="1:8" x14ac:dyDescent="0.2">
      <c r="A74" t="s">
        <v>87</v>
      </c>
    </row>
    <row r="75" spans="1:8" x14ac:dyDescent="0.2">
      <c r="A75" s="5"/>
      <c r="B75" s="5" t="s">
        <v>4</v>
      </c>
      <c r="C75" s="5" t="s">
        <v>5</v>
      </c>
      <c r="D75" s="5" t="s">
        <v>6</v>
      </c>
      <c r="E75" s="5" t="s">
        <v>7</v>
      </c>
      <c r="F75" s="5" t="s">
        <v>8</v>
      </c>
    </row>
    <row r="76" spans="1:8" x14ac:dyDescent="0.2">
      <c r="A76" s="5" t="s">
        <v>88</v>
      </c>
      <c r="B76" s="5">
        <f>B30</f>
        <v>21800</v>
      </c>
      <c r="C76" s="5">
        <f t="shared" ref="C76:F76" si="22">C30</f>
        <v>33800</v>
      </c>
      <c r="D76" s="5">
        <f t="shared" si="22"/>
        <v>47660</v>
      </c>
      <c r="E76" s="5">
        <f t="shared" si="22"/>
        <v>57364</v>
      </c>
      <c r="F76" s="5">
        <f t="shared" si="22"/>
        <v>68293.600000000006</v>
      </c>
    </row>
    <row r="77" spans="1:8" x14ac:dyDescent="0.2">
      <c r="A77" s="5" t="s">
        <v>89</v>
      </c>
      <c r="B77" s="5">
        <v>6000</v>
      </c>
      <c r="C77" s="5">
        <v>6000</v>
      </c>
      <c r="D77" s="5">
        <v>6000</v>
      </c>
      <c r="E77" s="5">
        <v>6000</v>
      </c>
      <c r="F77" s="5">
        <v>6000</v>
      </c>
    </row>
    <row r="78" spans="1:8" x14ac:dyDescent="0.2">
      <c r="A78" s="5" t="s">
        <v>90</v>
      </c>
      <c r="B78" s="5">
        <v>8000</v>
      </c>
      <c r="C78" s="5">
        <v>8000</v>
      </c>
      <c r="D78" s="5">
        <v>8000</v>
      </c>
      <c r="E78" s="5">
        <v>8000</v>
      </c>
      <c r="F78" s="5">
        <v>8000</v>
      </c>
    </row>
    <row r="79" spans="1:8" x14ac:dyDescent="0.2">
      <c r="A79" s="5" t="s">
        <v>91</v>
      </c>
      <c r="B79" s="5">
        <f>B76+B77-B78</f>
        <v>19800</v>
      </c>
      <c r="C79" s="5">
        <f t="shared" ref="C79:F79" si="23">C76+C77-C78</f>
        <v>31800</v>
      </c>
      <c r="D79" s="5">
        <f t="shared" si="23"/>
        <v>45660</v>
      </c>
      <c r="E79" s="5">
        <f t="shared" si="23"/>
        <v>55364</v>
      </c>
      <c r="F79" s="5">
        <f t="shared" si="23"/>
        <v>66293.600000000006</v>
      </c>
    </row>
    <row r="80" spans="1:8" x14ac:dyDescent="0.2">
      <c r="A80" s="5" t="s">
        <v>34</v>
      </c>
      <c r="B80" s="5"/>
      <c r="C80" s="5"/>
      <c r="D80" s="5"/>
      <c r="E80" s="5"/>
      <c r="F80" s="5"/>
    </row>
    <row r="81" spans="1:7" x14ac:dyDescent="0.2">
      <c r="A81" s="5" t="s">
        <v>92</v>
      </c>
      <c r="B81" s="5">
        <f>B79*70%</f>
        <v>13860</v>
      </c>
      <c r="C81" s="5">
        <f t="shared" ref="C81:F81" si="24">C79*70%</f>
        <v>22260</v>
      </c>
      <c r="D81" s="5">
        <f t="shared" si="24"/>
        <v>31961.999999999996</v>
      </c>
      <c r="E81" s="5">
        <f t="shared" si="24"/>
        <v>38754.799999999996</v>
      </c>
      <c r="F81" s="5">
        <f t="shared" si="24"/>
        <v>46405.520000000004</v>
      </c>
    </row>
    <row r="82" spans="1:7" x14ac:dyDescent="0.2">
      <c r="A82" s="5" t="s">
        <v>36</v>
      </c>
      <c r="B82" s="5">
        <v>3200</v>
      </c>
      <c r="C82" s="5">
        <v>3200</v>
      </c>
      <c r="D82" s="5">
        <v>3200</v>
      </c>
      <c r="E82" s="5">
        <v>3000</v>
      </c>
      <c r="F82" s="5">
        <v>3000</v>
      </c>
      <c r="G82" t="s">
        <v>94</v>
      </c>
    </row>
    <row r="83" spans="1:7" x14ac:dyDescent="0.2">
      <c r="A83" s="31" t="s">
        <v>93</v>
      </c>
      <c r="B83" s="31">
        <f>B81+B82</f>
        <v>17060</v>
      </c>
      <c r="C83" s="31">
        <f t="shared" ref="C83:F83" si="25">C81+C82</f>
        <v>25460</v>
      </c>
      <c r="D83" s="31">
        <f t="shared" si="25"/>
        <v>35162</v>
      </c>
      <c r="E83" s="31">
        <f t="shared" si="25"/>
        <v>41754.799999999996</v>
      </c>
      <c r="F83" s="31">
        <f t="shared" si="25"/>
        <v>49405.520000000004</v>
      </c>
    </row>
    <row r="84" spans="1:7" x14ac:dyDescent="0.2">
      <c r="A84" s="13" t="s">
        <v>96</v>
      </c>
    </row>
    <row r="85" spans="1:7" x14ac:dyDescent="0.2">
      <c r="A85">
        <f>24460-(8000*0.7)-(6000*30%)</f>
        <v>17060</v>
      </c>
      <c r="B85">
        <f>C34-(8000*0.7)-(6000*30%)</f>
        <v>25460</v>
      </c>
    </row>
    <row r="86" spans="1:7" x14ac:dyDescent="0.2">
      <c r="A86" t="s">
        <v>95</v>
      </c>
    </row>
    <row r="87" spans="1:7" x14ac:dyDescent="0.2">
      <c r="A87" t="s">
        <v>97</v>
      </c>
      <c r="C87">
        <v>17060</v>
      </c>
    </row>
    <row r="88" spans="1:7" x14ac:dyDescent="0.2">
      <c r="A88" s="29" t="s">
        <v>85</v>
      </c>
      <c r="B88" s="29" t="s">
        <v>3</v>
      </c>
      <c r="C88" s="29" t="s">
        <v>4</v>
      </c>
      <c r="D88" s="29" t="s">
        <v>5</v>
      </c>
      <c r="E88" s="29" t="s">
        <v>6</v>
      </c>
      <c r="F88" s="29" t="s">
        <v>7</v>
      </c>
      <c r="G88" s="29" t="s">
        <v>8</v>
      </c>
    </row>
    <row r="89" spans="1:7" x14ac:dyDescent="0.2">
      <c r="A89" s="35" t="s">
        <v>93</v>
      </c>
      <c r="B89" s="5"/>
      <c r="C89" s="5">
        <f>B83</f>
        <v>17060</v>
      </c>
      <c r="D89" s="5">
        <f>C83</f>
        <v>25460</v>
      </c>
      <c r="E89" s="5">
        <f>D83</f>
        <v>35162</v>
      </c>
      <c r="F89" s="5">
        <f>E83</f>
        <v>41754.799999999996</v>
      </c>
      <c r="G89" s="5">
        <f>F83</f>
        <v>49405.520000000004</v>
      </c>
    </row>
    <row r="90" spans="1:7" x14ac:dyDescent="0.2">
      <c r="A90" s="5" t="s">
        <v>98</v>
      </c>
      <c r="B90" s="5"/>
      <c r="C90" s="5"/>
      <c r="D90" s="5"/>
      <c r="E90" s="5"/>
      <c r="F90" s="5"/>
      <c r="G90" s="5"/>
    </row>
    <row r="91" spans="1:7" x14ac:dyDescent="0.2">
      <c r="A91" s="5" t="s">
        <v>99</v>
      </c>
      <c r="B91" s="5"/>
      <c r="C91" s="5">
        <v>10000</v>
      </c>
      <c r="D91" s="5">
        <v>10000</v>
      </c>
      <c r="E91" s="5"/>
      <c r="F91" s="5"/>
      <c r="G91" s="5"/>
    </row>
    <row r="92" spans="1:7" x14ac:dyDescent="0.2">
      <c r="A92" s="5" t="s">
        <v>100</v>
      </c>
      <c r="B92" s="5"/>
      <c r="C92" s="5"/>
      <c r="D92" s="5"/>
      <c r="E92" s="5"/>
      <c r="F92" s="5"/>
      <c r="G92" s="5"/>
    </row>
    <row r="93" spans="1:7" x14ac:dyDescent="0.2">
      <c r="A93" s="36" t="s">
        <v>101</v>
      </c>
      <c r="B93" s="36"/>
      <c r="C93" s="36">
        <f>C89+C91</f>
        <v>27060</v>
      </c>
      <c r="D93" s="36">
        <f>D89+D91</f>
        <v>35460</v>
      </c>
      <c r="E93" s="36">
        <f>E89+E91</f>
        <v>35162</v>
      </c>
      <c r="F93" s="36">
        <f>F89+F91</f>
        <v>41754.799999999996</v>
      </c>
      <c r="G93" s="36">
        <f>G89+G91</f>
        <v>49405.520000000004</v>
      </c>
    </row>
    <row r="94" spans="1:7" x14ac:dyDescent="0.2">
      <c r="A94" s="5" t="s">
        <v>102</v>
      </c>
      <c r="B94" s="5"/>
      <c r="C94" s="5"/>
      <c r="D94" s="5">
        <f>B81*30%</f>
        <v>4158</v>
      </c>
      <c r="E94" s="5">
        <f t="shared" ref="E94:G94" si="26">C81*30%</f>
        <v>6678</v>
      </c>
      <c r="F94" s="5">
        <f t="shared" si="26"/>
        <v>9588.5999999999985</v>
      </c>
      <c r="G94" s="5">
        <f t="shared" si="26"/>
        <v>11626.439999999999</v>
      </c>
    </row>
    <row r="95" spans="1:7" x14ac:dyDescent="0.2">
      <c r="A95" s="5" t="s">
        <v>10</v>
      </c>
      <c r="B95" s="5">
        <v>22500</v>
      </c>
      <c r="C95" s="5">
        <v>22500</v>
      </c>
      <c r="D95" s="5"/>
      <c r="E95" s="5"/>
      <c r="F95" s="5"/>
      <c r="G95" s="5"/>
    </row>
    <row r="96" spans="1:7" x14ac:dyDescent="0.2">
      <c r="A96" s="5" t="s">
        <v>103</v>
      </c>
      <c r="B96" s="5"/>
      <c r="C96" s="5">
        <v>600</v>
      </c>
      <c r="D96" s="5"/>
      <c r="E96" s="5"/>
      <c r="F96" s="5"/>
      <c r="G96" s="5"/>
    </row>
    <row r="97" spans="1:7" x14ac:dyDescent="0.2">
      <c r="A97" s="5" t="s">
        <v>13</v>
      </c>
      <c r="B97" s="5"/>
      <c r="C97" s="5">
        <f>C9</f>
        <v>6250</v>
      </c>
      <c r="D97" s="5">
        <f t="shared" ref="D97:G97" si="27">D9</f>
        <v>2000</v>
      </c>
      <c r="E97" s="5">
        <f t="shared" si="27"/>
        <v>1650</v>
      </c>
      <c r="F97" s="5">
        <f t="shared" si="27"/>
        <v>1485</v>
      </c>
      <c r="G97" s="5">
        <f t="shared" si="27"/>
        <v>1707.75</v>
      </c>
    </row>
    <row r="98" spans="1:7" x14ac:dyDescent="0.2">
      <c r="A98" s="5" t="s">
        <v>104</v>
      </c>
      <c r="B98" s="5"/>
      <c r="C98" s="5"/>
      <c r="D98" s="5"/>
      <c r="E98" s="5"/>
      <c r="F98" s="5"/>
      <c r="G98" s="5"/>
    </row>
    <row r="99" spans="1:7" x14ac:dyDescent="0.2">
      <c r="A99" s="36" t="s">
        <v>105</v>
      </c>
      <c r="B99" s="36">
        <f>SUM(B94:B98)</f>
        <v>22500</v>
      </c>
      <c r="C99" s="36">
        <f t="shared" ref="C99:G99" si="28">SUM(C94:C98)</f>
        <v>29350</v>
      </c>
      <c r="D99" s="36">
        <f t="shared" si="28"/>
        <v>6158</v>
      </c>
      <c r="E99" s="36">
        <f t="shared" si="28"/>
        <v>8328</v>
      </c>
      <c r="F99" s="36">
        <f t="shared" si="28"/>
        <v>11073.599999999999</v>
      </c>
      <c r="G99" s="36">
        <f t="shared" si="28"/>
        <v>13334.189999999999</v>
      </c>
    </row>
    <row r="100" spans="1:7" x14ac:dyDescent="0.2">
      <c r="A100" s="11" t="s">
        <v>106</v>
      </c>
      <c r="B100" s="11">
        <f>B93-B99</f>
        <v>-22500</v>
      </c>
      <c r="C100" s="11">
        <f t="shared" ref="C100:G100" si="29">C93-C99</f>
        <v>-2290</v>
      </c>
      <c r="D100" s="11">
        <f t="shared" si="29"/>
        <v>29302</v>
      </c>
      <c r="E100" s="11">
        <f t="shared" si="29"/>
        <v>26834</v>
      </c>
      <c r="F100" s="11">
        <f t="shared" si="29"/>
        <v>30681.199999999997</v>
      </c>
      <c r="G100" s="11">
        <f t="shared" si="29"/>
        <v>36071.33</v>
      </c>
    </row>
    <row r="101" spans="1:7" x14ac:dyDescent="0.2">
      <c r="A101" s="5" t="s">
        <v>107</v>
      </c>
      <c r="B101" s="5"/>
      <c r="C101" s="5">
        <f>B102</f>
        <v>-22500</v>
      </c>
      <c r="D101" s="5">
        <f t="shared" ref="D101:G101" si="30">C102</f>
        <v>-24790</v>
      </c>
      <c r="E101" s="5">
        <f t="shared" si="30"/>
        <v>4512</v>
      </c>
      <c r="F101" s="5">
        <f t="shared" si="30"/>
        <v>31346</v>
      </c>
      <c r="G101" s="5">
        <f t="shared" si="30"/>
        <v>62027.199999999997</v>
      </c>
    </row>
    <row r="102" spans="1:7" x14ac:dyDescent="0.2">
      <c r="A102" s="31" t="s">
        <v>108</v>
      </c>
      <c r="B102" s="31">
        <f>B100+B101</f>
        <v>-22500</v>
      </c>
      <c r="C102" s="31">
        <f t="shared" ref="C102:G102" si="31">C100+C101</f>
        <v>-24790</v>
      </c>
      <c r="D102" s="31">
        <f t="shared" si="31"/>
        <v>4512</v>
      </c>
      <c r="E102" s="31">
        <f t="shared" si="31"/>
        <v>31346</v>
      </c>
      <c r="F102" s="31">
        <f t="shared" si="31"/>
        <v>62027.199999999997</v>
      </c>
      <c r="G102" s="31">
        <f t="shared" si="31"/>
        <v>98098.53</v>
      </c>
    </row>
    <row r="103" spans="1:7" x14ac:dyDescent="0.2">
      <c r="A103" s="37" t="s">
        <v>109</v>
      </c>
    </row>
  </sheetData>
  <mergeCells count="4">
    <mergeCell ref="F55:G55"/>
    <mergeCell ref="F62:H62"/>
    <mergeCell ref="C70:D70"/>
    <mergeCell ref="A71:H7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F375-5D72-0547-B346-8773D75A5B9F}">
  <dimension ref="A1:I111"/>
  <sheetViews>
    <sheetView topLeftCell="A96" zoomScale="260" zoomScaleNormal="260" workbookViewId="0">
      <selection activeCell="C107" sqref="C107"/>
    </sheetView>
  </sheetViews>
  <sheetFormatPr baseColWidth="10" defaultRowHeight="16" x14ac:dyDescent="0.2"/>
  <cols>
    <col min="1" max="1" width="24.33203125" customWidth="1"/>
    <col min="2" max="2" width="10.6640625" customWidth="1"/>
    <col min="3" max="3" width="9.1640625" customWidth="1"/>
    <col min="5" max="5" width="8.83203125" customWidth="1"/>
    <col min="6" max="6" width="9.6640625" customWidth="1"/>
    <col min="7" max="7" width="9.1640625" customWidth="1"/>
  </cols>
  <sheetData>
    <row r="1" spans="1:7" x14ac:dyDescent="0.2">
      <c r="A1" s="3" t="s">
        <v>0</v>
      </c>
    </row>
    <row r="2" spans="1:7" x14ac:dyDescent="0.2">
      <c r="A2" s="2" t="s">
        <v>110</v>
      </c>
    </row>
    <row r="3" spans="1:7" x14ac:dyDescent="0.2">
      <c r="A3" t="s">
        <v>111</v>
      </c>
    </row>
    <row r="4" spans="1:7" x14ac:dyDescent="0.2">
      <c r="A4" t="s">
        <v>112</v>
      </c>
    </row>
    <row r="5" spans="1:7" x14ac:dyDescent="0.2">
      <c r="A5" t="s">
        <v>113</v>
      </c>
    </row>
    <row r="6" spans="1:7" x14ac:dyDescent="0.2">
      <c r="A6" t="s">
        <v>114</v>
      </c>
    </row>
    <row r="7" spans="1:7" x14ac:dyDescent="0.2">
      <c r="A7" t="s">
        <v>115</v>
      </c>
      <c r="D7" s="38">
        <v>0.12</v>
      </c>
    </row>
    <row r="8" spans="1:7" x14ac:dyDescent="0.2">
      <c r="A8" s="2" t="s">
        <v>127</v>
      </c>
    </row>
    <row r="9" spans="1:7" x14ac:dyDescent="0.2">
      <c r="A9" s="5" t="s">
        <v>116</v>
      </c>
      <c r="B9" s="29" t="s">
        <v>3</v>
      </c>
      <c r="C9" s="29" t="s">
        <v>4</v>
      </c>
      <c r="D9" s="29" t="s">
        <v>5</v>
      </c>
      <c r="E9" s="29" t="s">
        <v>6</v>
      </c>
      <c r="F9" s="29" t="s">
        <v>7</v>
      </c>
      <c r="G9" s="29" t="s">
        <v>8</v>
      </c>
    </row>
    <row r="10" spans="1:7" x14ac:dyDescent="0.2">
      <c r="A10" s="5" t="s">
        <v>117</v>
      </c>
      <c r="B10" s="5">
        <v>11121.66</v>
      </c>
      <c r="C10" s="5"/>
      <c r="D10" s="5"/>
      <c r="E10" s="5"/>
      <c r="F10" s="5"/>
      <c r="G10" s="5"/>
    </row>
    <row r="11" spans="1:7" x14ac:dyDescent="0.2">
      <c r="A11" s="5" t="s">
        <v>120</v>
      </c>
      <c r="B11" s="5">
        <v>22500</v>
      </c>
      <c r="C11" s="5">
        <v>22500</v>
      </c>
      <c r="D11" s="5"/>
      <c r="E11" s="5"/>
      <c r="F11" s="5"/>
      <c r="G11" s="5"/>
    </row>
    <row r="12" spans="1:7" x14ac:dyDescent="0.2">
      <c r="A12" s="5" t="s">
        <v>11</v>
      </c>
      <c r="B12" s="5"/>
      <c r="C12" s="5">
        <v>36000</v>
      </c>
      <c r="D12" s="5"/>
      <c r="E12" s="5"/>
      <c r="F12" s="5"/>
      <c r="G12" s="5"/>
    </row>
    <row r="13" spans="1:7" x14ac:dyDescent="0.2">
      <c r="A13" s="5" t="s">
        <v>121</v>
      </c>
      <c r="B13" s="5"/>
      <c r="C13" s="5">
        <v>600</v>
      </c>
      <c r="D13" s="5"/>
      <c r="E13" s="5"/>
      <c r="F13" s="5"/>
      <c r="G13" s="5"/>
    </row>
    <row r="14" spans="1:7" x14ac:dyDescent="0.2">
      <c r="A14" s="5" t="s">
        <v>122</v>
      </c>
      <c r="B14" s="5"/>
      <c r="C14" s="5">
        <f>B27/1000</f>
        <v>6250</v>
      </c>
      <c r="D14" s="5">
        <f t="shared" ref="D14:G14" si="0">C27/1000</f>
        <v>2000</v>
      </c>
      <c r="E14" s="5">
        <f t="shared" si="0"/>
        <v>1650</v>
      </c>
      <c r="F14" s="5">
        <f t="shared" si="0"/>
        <v>1485</v>
      </c>
      <c r="G14" s="5">
        <f t="shared" si="0"/>
        <v>1707.75</v>
      </c>
    </row>
    <row r="15" spans="1:7" x14ac:dyDescent="0.2">
      <c r="A15" s="5" t="s">
        <v>14</v>
      </c>
      <c r="B15" s="5">
        <f>SUM(B10:B14)</f>
        <v>33621.660000000003</v>
      </c>
      <c r="C15" s="5">
        <f t="shared" ref="C15:G15" si="1">SUM(C10:C14)</f>
        <v>65350</v>
      </c>
      <c r="D15" s="5">
        <f t="shared" si="1"/>
        <v>2000</v>
      </c>
      <c r="E15" s="5">
        <f t="shared" si="1"/>
        <v>1650</v>
      </c>
      <c r="F15" s="5">
        <f t="shared" si="1"/>
        <v>1485</v>
      </c>
      <c r="G15" s="5">
        <f t="shared" si="1"/>
        <v>1707.75</v>
      </c>
    </row>
    <row r="16" spans="1:7" x14ac:dyDescent="0.2">
      <c r="A16" s="5" t="s">
        <v>15</v>
      </c>
      <c r="B16" s="5">
        <f>1.12^0</f>
        <v>1</v>
      </c>
      <c r="C16" s="7">
        <f>1.12^-1</f>
        <v>0.89285714285714279</v>
      </c>
      <c r="D16" s="7">
        <f>1.12^-2</f>
        <v>0.79719387755102034</v>
      </c>
      <c r="E16" s="7">
        <f>1.12^-3</f>
        <v>0.71178024781341087</v>
      </c>
      <c r="F16" s="7">
        <f>1.12^-4</f>
        <v>0.63551807840483121</v>
      </c>
      <c r="G16" s="7">
        <f>1.12^-5</f>
        <v>0.56742685571859919</v>
      </c>
    </row>
    <row r="17" spans="1:7" x14ac:dyDescent="0.2">
      <c r="A17" s="5" t="s">
        <v>123</v>
      </c>
      <c r="B17" s="5">
        <f>B15*B16</f>
        <v>33621.660000000003</v>
      </c>
      <c r="C17" s="20">
        <f t="shared" ref="C17:G17" si="2">C15*C16</f>
        <v>58348.214285714283</v>
      </c>
      <c r="D17" s="20">
        <f t="shared" si="2"/>
        <v>1594.3877551020407</v>
      </c>
      <c r="E17" s="20">
        <f t="shared" si="2"/>
        <v>1174.4374088921279</v>
      </c>
      <c r="F17" s="20">
        <f t="shared" si="2"/>
        <v>943.74434643117434</v>
      </c>
      <c r="G17" s="20">
        <f t="shared" si="2"/>
        <v>969.02321285343771</v>
      </c>
    </row>
    <row r="18" spans="1:7" x14ac:dyDescent="0.2">
      <c r="A18" s="9" t="s">
        <v>17</v>
      </c>
      <c r="B18" s="18">
        <f>SUM(B17:G17)</f>
        <v>96651.467008993088</v>
      </c>
      <c r="C18" t="s">
        <v>24</v>
      </c>
    </row>
    <row r="19" spans="1:7" x14ac:dyDescent="0.2">
      <c r="A19" t="s">
        <v>118</v>
      </c>
    </row>
    <row r="20" spans="1:7" x14ac:dyDescent="0.2">
      <c r="A20" t="s">
        <v>119</v>
      </c>
    </row>
    <row r="21" spans="1:7" x14ac:dyDescent="0.2">
      <c r="A21" t="s">
        <v>124</v>
      </c>
    </row>
    <row r="22" spans="1:7" x14ac:dyDescent="0.2">
      <c r="A22" s="40" t="s">
        <v>130</v>
      </c>
      <c r="B22" s="39" t="s">
        <v>4</v>
      </c>
      <c r="C22" s="39" t="s">
        <v>5</v>
      </c>
      <c r="D22" s="39" t="s">
        <v>6</v>
      </c>
      <c r="E22" s="39" t="s">
        <v>7</v>
      </c>
      <c r="F22" s="39" t="s">
        <v>8</v>
      </c>
    </row>
    <row r="23" spans="1:7" x14ac:dyDescent="0.2">
      <c r="A23" s="11" t="s">
        <v>125</v>
      </c>
      <c r="B23" s="11">
        <v>10000</v>
      </c>
      <c r="C23" s="11">
        <f>B23*1.2</f>
        <v>12000</v>
      </c>
      <c r="D23" s="11">
        <f>C23*1.2</f>
        <v>14400</v>
      </c>
      <c r="E23" s="11">
        <f>D23*1.15</f>
        <v>16560</v>
      </c>
      <c r="F23" s="11">
        <f>E23*1.15</f>
        <v>19044</v>
      </c>
    </row>
    <row r="24" spans="1:7" x14ac:dyDescent="0.2">
      <c r="A24" s="11" t="s">
        <v>20</v>
      </c>
      <c r="B24" s="11">
        <v>5000</v>
      </c>
      <c r="C24" s="11">
        <f>5000*1.1</f>
        <v>5500</v>
      </c>
      <c r="D24" s="11">
        <f t="shared" ref="D24:F24" si="3">5000*1.1</f>
        <v>5500</v>
      </c>
      <c r="E24" s="11">
        <f t="shared" si="3"/>
        <v>5500</v>
      </c>
      <c r="F24" s="11">
        <f t="shared" si="3"/>
        <v>5500</v>
      </c>
    </row>
    <row r="25" spans="1:7" x14ac:dyDescent="0.2">
      <c r="A25" s="11" t="s">
        <v>126</v>
      </c>
      <c r="B25" s="11">
        <f>B23*B24</f>
        <v>50000000</v>
      </c>
      <c r="C25" s="11">
        <f t="shared" ref="C25:F25" si="4">C23*C24</f>
        <v>66000000</v>
      </c>
      <c r="D25" s="11">
        <f t="shared" si="4"/>
        <v>79200000</v>
      </c>
      <c r="E25" s="11">
        <f t="shared" si="4"/>
        <v>91080000</v>
      </c>
      <c r="F25" s="11">
        <f t="shared" si="4"/>
        <v>104742000</v>
      </c>
    </row>
    <row r="26" spans="1:7" x14ac:dyDescent="0.2">
      <c r="A26" s="11" t="s">
        <v>128</v>
      </c>
      <c r="B26" s="11">
        <f>B25*45/360</f>
        <v>6250000</v>
      </c>
      <c r="C26" s="11">
        <f t="shared" ref="C26:F26" si="5">C25*45/360</f>
        <v>8250000</v>
      </c>
      <c r="D26" s="11">
        <f t="shared" si="5"/>
        <v>9900000</v>
      </c>
      <c r="E26" s="11">
        <f t="shared" si="5"/>
        <v>11385000</v>
      </c>
      <c r="F26" s="11">
        <f t="shared" si="5"/>
        <v>13092750</v>
      </c>
    </row>
    <row r="27" spans="1:7" x14ac:dyDescent="0.2">
      <c r="A27" s="11" t="s">
        <v>129</v>
      </c>
      <c r="B27" s="11">
        <f>B26</f>
        <v>6250000</v>
      </c>
      <c r="C27" s="11">
        <f>C26-B26</f>
        <v>2000000</v>
      </c>
      <c r="D27" s="11">
        <f t="shared" ref="D27:F27" si="6">D26-C26</f>
        <v>1650000</v>
      </c>
      <c r="E27" s="11">
        <f t="shared" si="6"/>
        <v>1485000</v>
      </c>
      <c r="F27" s="11">
        <f t="shared" si="6"/>
        <v>1707750</v>
      </c>
    </row>
    <row r="28" spans="1:7" x14ac:dyDescent="0.2">
      <c r="A28" s="14" t="s">
        <v>131</v>
      </c>
    </row>
    <row r="29" spans="1:7" x14ac:dyDescent="0.2">
      <c r="A29" s="40" t="s">
        <v>133</v>
      </c>
      <c r="B29" s="42" t="s">
        <v>4</v>
      </c>
      <c r="C29" s="42" t="s">
        <v>5</v>
      </c>
      <c r="D29" s="42" t="s">
        <v>6</v>
      </c>
      <c r="E29" s="42" t="s">
        <v>7</v>
      </c>
      <c r="F29" s="42" t="s">
        <v>8</v>
      </c>
    </row>
    <row r="30" spans="1:7" x14ac:dyDescent="0.2">
      <c r="A30" s="5" t="s">
        <v>132</v>
      </c>
      <c r="B30" s="5">
        <f>B25/1000</f>
        <v>50000</v>
      </c>
      <c r="C30" s="5">
        <f t="shared" ref="C30:F30" si="7">C25/1000</f>
        <v>66000</v>
      </c>
      <c r="D30" s="5">
        <f t="shared" si="7"/>
        <v>79200</v>
      </c>
      <c r="E30" s="5">
        <f t="shared" si="7"/>
        <v>91080</v>
      </c>
      <c r="F30" s="5">
        <f t="shared" si="7"/>
        <v>104742</v>
      </c>
    </row>
    <row r="31" spans="1:7" x14ac:dyDescent="0.2">
      <c r="A31" s="5" t="s">
        <v>27</v>
      </c>
      <c r="B31" s="5">
        <f>B30*25%</f>
        <v>12500</v>
      </c>
      <c r="C31" s="5">
        <f>C30*25%</f>
        <v>16500</v>
      </c>
      <c r="D31" s="5">
        <f>D30*20%</f>
        <v>15840</v>
      </c>
      <c r="E31" s="5">
        <f t="shared" ref="E31:F31" si="8">E30*20%</f>
        <v>18216</v>
      </c>
      <c r="F31" s="5">
        <f t="shared" si="8"/>
        <v>20948.400000000001</v>
      </c>
    </row>
    <row r="32" spans="1:7" x14ac:dyDescent="0.2">
      <c r="A32" s="5" t="s">
        <v>28</v>
      </c>
      <c r="B32" s="5">
        <v>6500</v>
      </c>
      <c r="C32" s="5">
        <v>6500</v>
      </c>
      <c r="D32" s="5">
        <v>6500</v>
      </c>
      <c r="E32" s="5">
        <v>6500</v>
      </c>
      <c r="F32" s="5">
        <v>6500</v>
      </c>
    </row>
    <row r="33" spans="1:6" x14ac:dyDescent="0.2">
      <c r="A33" s="5" t="s">
        <v>134</v>
      </c>
      <c r="B33" s="5"/>
      <c r="C33" s="5"/>
      <c r="D33" s="5"/>
      <c r="E33" s="5"/>
      <c r="F33" s="5"/>
    </row>
    <row r="34" spans="1:6" x14ac:dyDescent="0.2">
      <c r="A34" s="5" t="s">
        <v>135</v>
      </c>
      <c r="B34" s="5">
        <f>45000/15</f>
        <v>3000</v>
      </c>
      <c r="C34" s="5">
        <f t="shared" ref="C34:F34" si="9">45000/15</f>
        <v>3000</v>
      </c>
      <c r="D34" s="5">
        <f t="shared" si="9"/>
        <v>3000</v>
      </c>
      <c r="E34" s="5">
        <f t="shared" si="9"/>
        <v>3000</v>
      </c>
      <c r="F34" s="5">
        <f t="shared" si="9"/>
        <v>3000</v>
      </c>
    </row>
    <row r="35" spans="1:6" x14ac:dyDescent="0.2">
      <c r="A35" s="5" t="s">
        <v>136</v>
      </c>
      <c r="B35" s="5">
        <f>36000/6</f>
        <v>6000</v>
      </c>
      <c r="C35" s="5">
        <f t="shared" ref="C35:F35" si="10">36000/6</f>
        <v>6000</v>
      </c>
      <c r="D35" s="5">
        <f t="shared" si="10"/>
        <v>6000</v>
      </c>
      <c r="E35" s="5">
        <f t="shared" si="10"/>
        <v>6000</v>
      </c>
      <c r="F35" s="5">
        <f t="shared" si="10"/>
        <v>6000</v>
      </c>
    </row>
    <row r="36" spans="1:6" x14ac:dyDescent="0.2">
      <c r="A36" s="5" t="s">
        <v>137</v>
      </c>
      <c r="B36" s="5">
        <f>600/3</f>
        <v>200</v>
      </c>
      <c r="C36" s="5">
        <f t="shared" ref="C36:D36" si="11">600/3</f>
        <v>200</v>
      </c>
      <c r="D36" s="5">
        <f t="shared" si="11"/>
        <v>200</v>
      </c>
      <c r="E36" s="5"/>
      <c r="F36" s="5"/>
    </row>
    <row r="37" spans="1:6" x14ac:dyDescent="0.2">
      <c r="A37" s="5" t="s">
        <v>33</v>
      </c>
      <c r="B37" s="5">
        <f>B30-B31-B32-B34-B35-B36</f>
        <v>21800</v>
      </c>
      <c r="C37" s="5">
        <f t="shared" ref="C37:F37" si="12">C30-C31-C32-C34-C35-C36</f>
        <v>33800</v>
      </c>
      <c r="D37" s="5">
        <f t="shared" si="12"/>
        <v>47660</v>
      </c>
      <c r="E37" s="5">
        <f t="shared" si="12"/>
        <v>57364</v>
      </c>
      <c r="F37" s="5">
        <f t="shared" si="12"/>
        <v>68293.600000000006</v>
      </c>
    </row>
    <row r="38" spans="1:6" x14ac:dyDescent="0.2">
      <c r="A38" s="5" t="s">
        <v>138</v>
      </c>
      <c r="B38" s="5">
        <f>B37*0.7</f>
        <v>15259.999999999998</v>
      </c>
      <c r="C38" s="5">
        <f t="shared" ref="C38:F38" si="13">C37*0.7</f>
        <v>23660</v>
      </c>
      <c r="D38" s="5">
        <f t="shared" si="13"/>
        <v>33362</v>
      </c>
      <c r="E38" s="5">
        <f t="shared" si="13"/>
        <v>40154.799999999996</v>
      </c>
      <c r="F38" s="5">
        <f t="shared" si="13"/>
        <v>47805.520000000004</v>
      </c>
    </row>
    <row r="39" spans="1:6" x14ac:dyDescent="0.2">
      <c r="A39" s="5" t="s">
        <v>139</v>
      </c>
      <c r="B39" s="5">
        <v>9200</v>
      </c>
      <c r="C39" s="5">
        <v>9200</v>
      </c>
      <c r="D39" s="5">
        <v>9200</v>
      </c>
      <c r="E39" s="5">
        <v>9000</v>
      </c>
      <c r="F39" s="5">
        <v>9000</v>
      </c>
    </row>
    <row r="40" spans="1:6" x14ac:dyDescent="0.2">
      <c r="A40" s="9" t="s">
        <v>140</v>
      </c>
      <c r="B40" s="9">
        <f>B38+B39</f>
        <v>24460</v>
      </c>
      <c r="C40" s="9">
        <f t="shared" ref="C40:F40" si="14">C38+C39</f>
        <v>32860</v>
      </c>
      <c r="D40" s="9">
        <f t="shared" si="14"/>
        <v>42562</v>
      </c>
      <c r="E40" s="9">
        <f t="shared" si="14"/>
        <v>49154.799999999996</v>
      </c>
      <c r="F40" s="9">
        <f t="shared" si="14"/>
        <v>56805.520000000004</v>
      </c>
    </row>
    <row r="41" spans="1:6" x14ac:dyDescent="0.2">
      <c r="A41" s="14" t="s">
        <v>149</v>
      </c>
    </row>
    <row r="42" spans="1:6" x14ac:dyDescent="0.2">
      <c r="A42" s="13" t="s">
        <v>148</v>
      </c>
      <c r="B42" t="s">
        <v>141</v>
      </c>
      <c r="E42" t="s">
        <v>153</v>
      </c>
    </row>
    <row r="43" spans="1:6" x14ac:dyDescent="0.2">
      <c r="A43" s="14" t="s">
        <v>142</v>
      </c>
      <c r="C43" t="s">
        <v>147</v>
      </c>
    </row>
    <row r="44" spans="1:6" x14ac:dyDescent="0.2">
      <c r="A44" s="13" t="s">
        <v>143</v>
      </c>
      <c r="B44">
        <f>B10</f>
        <v>11121.66</v>
      </c>
      <c r="C44" s="4" t="s">
        <v>52</v>
      </c>
      <c r="D44" s="4">
        <f>F40*1.14^5</f>
        <v>109374.17656881483</v>
      </c>
    </row>
    <row r="45" spans="1:6" x14ac:dyDescent="0.2">
      <c r="A45" s="13" t="s">
        <v>144</v>
      </c>
      <c r="B45">
        <f>45000-(3000*5)</f>
        <v>30000</v>
      </c>
    </row>
    <row r="46" spans="1:6" x14ac:dyDescent="0.2">
      <c r="A46" s="13" t="s">
        <v>145</v>
      </c>
      <c r="B46">
        <f>36000-(6000*5)</f>
        <v>6000</v>
      </c>
      <c r="C46" t="s">
        <v>150</v>
      </c>
      <c r="D46" t="s">
        <v>151</v>
      </c>
    </row>
    <row r="47" spans="1:6" x14ac:dyDescent="0.2">
      <c r="A47" s="14" t="s">
        <v>146</v>
      </c>
      <c r="B47" s="2">
        <f>SUM(B44:B46)</f>
        <v>47121.66</v>
      </c>
      <c r="C47" s="9" t="s">
        <v>152</v>
      </c>
      <c r="D47" s="18">
        <f>(B47+D44)/2</f>
        <v>78247.918284407409</v>
      </c>
    </row>
    <row r="48" spans="1:6" x14ac:dyDescent="0.2">
      <c r="A48" s="14" t="s">
        <v>154</v>
      </c>
    </row>
    <row r="49" spans="1:6" x14ac:dyDescent="0.2">
      <c r="A49" s="14"/>
      <c r="B49" s="42" t="s">
        <v>4</v>
      </c>
      <c r="C49" s="42" t="s">
        <v>5</v>
      </c>
      <c r="D49" s="42" t="s">
        <v>6</v>
      </c>
      <c r="E49" s="42" t="s">
        <v>7</v>
      </c>
      <c r="F49" s="42" t="s">
        <v>8</v>
      </c>
    </row>
    <row r="50" spans="1:6" x14ac:dyDescent="0.2">
      <c r="A50" s="43" t="s">
        <v>140</v>
      </c>
      <c r="B50" s="5">
        <f>B40</f>
        <v>24460</v>
      </c>
      <c r="C50" s="5">
        <f t="shared" ref="C50:F50" si="15">C40</f>
        <v>32860</v>
      </c>
      <c r="D50" s="5">
        <f t="shared" si="15"/>
        <v>42562</v>
      </c>
      <c r="E50" s="5">
        <f t="shared" si="15"/>
        <v>49154.799999999996</v>
      </c>
      <c r="F50" s="5">
        <f t="shared" si="15"/>
        <v>56805.520000000004</v>
      </c>
    </row>
    <row r="51" spans="1:6" x14ac:dyDescent="0.2">
      <c r="A51" s="5" t="s">
        <v>155</v>
      </c>
      <c r="B51" s="5"/>
      <c r="C51" s="5"/>
      <c r="D51" s="5"/>
      <c r="E51" s="5"/>
      <c r="F51" s="20">
        <f>D47</f>
        <v>78247.918284407409</v>
      </c>
    </row>
    <row r="52" spans="1:6" x14ac:dyDescent="0.2">
      <c r="A52" s="5" t="s">
        <v>156</v>
      </c>
      <c r="B52" s="7">
        <f>1.12^-2</f>
        <v>0.79719387755102034</v>
      </c>
      <c r="C52" s="7">
        <f>1.12^-3</f>
        <v>0.71178024781341087</v>
      </c>
      <c r="D52" s="7">
        <f>1.12^-4</f>
        <v>0.63551807840483121</v>
      </c>
      <c r="E52" s="7">
        <f>1.12^-5</f>
        <v>0.56742685571859919</v>
      </c>
      <c r="F52" s="7">
        <f>1.12^-6</f>
        <v>0.50663112117732068</v>
      </c>
    </row>
    <row r="53" spans="1:6" x14ac:dyDescent="0.2">
      <c r="A53" s="29" t="s">
        <v>53</v>
      </c>
      <c r="B53" s="20">
        <f>(B50+B51)*B52</f>
        <v>19499.362244897959</v>
      </c>
      <c r="C53" s="20">
        <f t="shared" ref="C53:F53" si="16">(C50+C51)*C52</f>
        <v>23389.098943148681</v>
      </c>
      <c r="D53" s="20">
        <f t="shared" si="16"/>
        <v>27048.920453066425</v>
      </c>
      <c r="E53" s="20">
        <f t="shared" si="16"/>
        <v>27891.753607476596</v>
      </c>
      <c r="F53" s="20">
        <f t="shared" si="16"/>
        <v>68422.274856881413</v>
      </c>
    </row>
    <row r="54" spans="1:6" x14ac:dyDescent="0.2">
      <c r="A54" s="45" t="s">
        <v>157</v>
      </c>
      <c r="B54" s="46">
        <f>SUM(B53:F53)</f>
        <v>166251.41010547109</v>
      </c>
    </row>
    <row r="55" spans="1:6" x14ac:dyDescent="0.2">
      <c r="A55" s="9" t="s">
        <v>158</v>
      </c>
      <c r="B55" s="18">
        <f>B54-B18</f>
        <v>69599.943096478004</v>
      </c>
      <c r="C55" s="5" t="s">
        <v>24</v>
      </c>
      <c r="D55" s="9" t="s">
        <v>58</v>
      </c>
      <c r="E55" s="18">
        <f>B54/B18</f>
        <v>1.7201126402975546</v>
      </c>
    </row>
    <row r="56" spans="1:6" x14ac:dyDescent="0.2">
      <c r="A56" s="2" t="s">
        <v>159</v>
      </c>
    </row>
    <row r="57" spans="1:6" x14ac:dyDescent="0.2">
      <c r="A57" s="2" t="s">
        <v>160</v>
      </c>
    </row>
    <row r="58" spans="1:6" x14ac:dyDescent="0.2">
      <c r="A58" s="2" t="s">
        <v>161</v>
      </c>
      <c r="B58" s="29" t="s">
        <v>81</v>
      </c>
      <c r="C58" s="29" t="s">
        <v>162</v>
      </c>
      <c r="D58" s="29" t="s">
        <v>76</v>
      </c>
      <c r="E58" s="29" t="s">
        <v>15</v>
      </c>
      <c r="F58" s="29" t="s">
        <v>77</v>
      </c>
    </row>
    <row r="59" spans="1:6" x14ac:dyDescent="0.2">
      <c r="A59" s="27" t="s">
        <v>61</v>
      </c>
      <c r="B59" s="5">
        <v>8000</v>
      </c>
      <c r="C59" s="5">
        <f>B59*30%</f>
        <v>2400</v>
      </c>
      <c r="D59" s="5">
        <f>B59-C59</f>
        <v>5600</v>
      </c>
      <c r="E59" s="5">
        <f>1.12^0</f>
        <v>1</v>
      </c>
      <c r="F59" s="5">
        <f>D59*E59</f>
        <v>5600</v>
      </c>
    </row>
    <row r="60" spans="1:6" x14ac:dyDescent="0.2">
      <c r="A60" s="27" t="s">
        <v>62</v>
      </c>
      <c r="B60" s="5">
        <v>8000</v>
      </c>
      <c r="C60" s="5">
        <f t="shared" ref="C60:C63" si="17">B60*30%</f>
        <v>2400</v>
      </c>
      <c r="D60" s="5">
        <f t="shared" ref="D60:D63" si="18">B60-C60</f>
        <v>5600</v>
      </c>
      <c r="E60" s="7">
        <f>1.12^-1</f>
        <v>0.89285714285714279</v>
      </c>
      <c r="F60" s="5">
        <f t="shared" ref="F60:F63" si="19">D60*E60</f>
        <v>5000</v>
      </c>
    </row>
    <row r="61" spans="1:6" x14ac:dyDescent="0.2">
      <c r="A61" s="27" t="s">
        <v>63</v>
      </c>
      <c r="B61" s="5">
        <v>8000</v>
      </c>
      <c r="C61" s="5">
        <f t="shared" si="17"/>
        <v>2400</v>
      </c>
      <c r="D61" s="5">
        <f t="shared" si="18"/>
        <v>5600</v>
      </c>
      <c r="E61" s="7">
        <f>1.12^-2</f>
        <v>0.79719387755102034</v>
      </c>
      <c r="F61" s="20">
        <f t="shared" si="19"/>
        <v>4464.2857142857138</v>
      </c>
    </row>
    <row r="62" spans="1:6" x14ac:dyDescent="0.2">
      <c r="A62" s="27" t="s">
        <v>64</v>
      </c>
      <c r="B62" s="5">
        <v>8000</v>
      </c>
      <c r="C62" s="5">
        <f t="shared" si="17"/>
        <v>2400</v>
      </c>
      <c r="D62" s="5">
        <f t="shared" si="18"/>
        <v>5600</v>
      </c>
      <c r="E62" s="7">
        <f>1.12^-3</f>
        <v>0.71178024781341087</v>
      </c>
      <c r="F62" s="20">
        <f t="shared" si="19"/>
        <v>3985.9693877551008</v>
      </c>
    </row>
    <row r="63" spans="1:6" x14ac:dyDescent="0.2">
      <c r="A63" s="27" t="s">
        <v>65</v>
      </c>
      <c r="B63" s="5">
        <v>8000</v>
      </c>
      <c r="C63" s="5">
        <f t="shared" si="17"/>
        <v>2400</v>
      </c>
      <c r="D63" s="5">
        <f t="shared" si="18"/>
        <v>5600</v>
      </c>
      <c r="E63" s="7">
        <f>1.12^-4</f>
        <v>0.63551807840483121</v>
      </c>
      <c r="F63" s="20">
        <f t="shared" si="19"/>
        <v>3558.9012390670546</v>
      </c>
    </row>
    <row r="64" spans="1:6" x14ac:dyDescent="0.2">
      <c r="D64" s="49" t="s">
        <v>163</v>
      </c>
      <c r="E64" s="49"/>
      <c r="F64" s="28">
        <f>SUM(F59:F63)</f>
        <v>22609.156341107868</v>
      </c>
    </row>
    <row r="65" spans="1:9" x14ac:dyDescent="0.2">
      <c r="A65" s="27" t="s">
        <v>164</v>
      </c>
      <c r="B65" t="s">
        <v>66</v>
      </c>
      <c r="C65">
        <v>6000</v>
      </c>
      <c r="D65" t="s">
        <v>165</v>
      </c>
      <c r="E65">
        <v>30000</v>
      </c>
      <c r="F65" t="s">
        <v>166</v>
      </c>
      <c r="G65" t="s">
        <v>167</v>
      </c>
    </row>
    <row r="66" spans="1:9" x14ac:dyDescent="0.2">
      <c r="A66" s="27"/>
      <c r="F66" s="52" t="s">
        <v>169</v>
      </c>
      <c r="G66" s="53"/>
    </row>
    <row r="67" spans="1:9" x14ac:dyDescent="0.2">
      <c r="A67" s="27"/>
      <c r="B67" s="5" t="s">
        <v>66</v>
      </c>
      <c r="C67" s="5" t="s">
        <v>168</v>
      </c>
      <c r="D67" s="5" t="s">
        <v>69</v>
      </c>
      <c r="E67" s="5" t="s">
        <v>70</v>
      </c>
      <c r="F67" s="5" t="s">
        <v>68</v>
      </c>
      <c r="G67" s="5" t="s">
        <v>75</v>
      </c>
      <c r="H67" s="5" t="s">
        <v>76</v>
      </c>
      <c r="I67" s="5" t="s">
        <v>77</v>
      </c>
    </row>
    <row r="68" spans="1:9" x14ac:dyDescent="0.2">
      <c r="A68" s="27" t="s">
        <v>61</v>
      </c>
      <c r="B68" s="5">
        <v>6000</v>
      </c>
      <c r="C68" s="5">
        <f>30000*10%</f>
        <v>3000</v>
      </c>
      <c r="D68" s="5">
        <v>0</v>
      </c>
      <c r="E68" s="5">
        <f>B68+C68+D68</f>
        <v>9000</v>
      </c>
      <c r="F68" s="5">
        <f>C68*30%</f>
        <v>900</v>
      </c>
      <c r="G68" s="5">
        <f>6000*30%</f>
        <v>1800</v>
      </c>
      <c r="H68" s="5">
        <f>E68-F68-G68</f>
        <v>6300</v>
      </c>
      <c r="I68" s="20">
        <f>B68+(C68-F68-G68)*1.12^-1</f>
        <v>6267.8571428571431</v>
      </c>
    </row>
    <row r="69" spans="1:9" x14ac:dyDescent="0.2">
      <c r="A69" s="27" t="s">
        <v>62</v>
      </c>
      <c r="B69" s="5"/>
      <c r="C69" s="5">
        <f t="shared" ref="C69:C72" si="20">30000*10%</f>
        <v>3000</v>
      </c>
      <c r="D69" s="5">
        <v>0</v>
      </c>
      <c r="E69" s="5">
        <f t="shared" ref="E69:E72" si="21">B69+C69+D69</f>
        <v>3000</v>
      </c>
      <c r="F69" s="5">
        <f t="shared" ref="F69:F72" si="22">C69*30%</f>
        <v>900</v>
      </c>
      <c r="G69" s="5">
        <f t="shared" ref="G69:G72" si="23">6000*30%</f>
        <v>1800</v>
      </c>
      <c r="H69" s="5">
        <f t="shared" ref="H69:H72" si="24">E69-F69-G69</f>
        <v>300</v>
      </c>
      <c r="I69" s="20">
        <f>H69*1.12^-2</f>
        <v>239.15816326530609</v>
      </c>
    </row>
    <row r="70" spans="1:9" x14ac:dyDescent="0.2">
      <c r="A70" s="27" t="s">
        <v>63</v>
      </c>
      <c r="B70" s="5"/>
      <c r="C70" s="5">
        <f t="shared" si="20"/>
        <v>3000</v>
      </c>
      <c r="D70" s="5">
        <v>0</v>
      </c>
      <c r="E70" s="5">
        <f t="shared" si="21"/>
        <v>3000</v>
      </c>
      <c r="F70" s="5">
        <f t="shared" si="22"/>
        <v>900</v>
      </c>
      <c r="G70" s="5">
        <f t="shared" si="23"/>
        <v>1800</v>
      </c>
      <c r="H70" s="5">
        <f t="shared" si="24"/>
        <v>300</v>
      </c>
      <c r="I70" s="20">
        <f>H70*1.12^-3</f>
        <v>213.53407434402325</v>
      </c>
    </row>
    <row r="71" spans="1:9" x14ac:dyDescent="0.2">
      <c r="A71" s="27" t="s">
        <v>64</v>
      </c>
      <c r="B71" s="5"/>
      <c r="C71" s="5">
        <f t="shared" si="20"/>
        <v>3000</v>
      </c>
      <c r="D71" s="5">
        <v>0</v>
      </c>
      <c r="E71" s="5">
        <f t="shared" si="21"/>
        <v>3000</v>
      </c>
      <c r="F71" s="5">
        <f t="shared" si="22"/>
        <v>900</v>
      </c>
      <c r="G71" s="5">
        <f t="shared" si="23"/>
        <v>1800</v>
      </c>
      <c r="H71" s="5">
        <f t="shared" si="24"/>
        <v>300</v>
      </c>
      <c r="I71" s="20">
        <f>H71*1.12^-4</f>
        <v>190.65542352144936</v>
      </c>
    </row>
    <row r="72" spans="1:9" x14ac:dyDescent="0.2">
      <c r="A72" s="27" t="s">
        <v>65</v>
      </c>
      <c r="B72" s="5"/>
      <c r="C72" s="5">
        <f t="shared" si="20"/>
        <v>3000</v>
      </c>
      <c r="D72" s="5">
        <v>30000</v>
      </c>
      <c r="E72" s="5">
        <f t="shared" si="21"/>
        <v>33000</v>
      </c>
      <c r="F72" s="5">
        <f t="shared" si="22"/>
        <v>900</v>
      </c>
      <c r="G72" s="5">
        <f t="shared" si="23"/>
        <v>1800</v>
      </c>
      <c r="H72" s="5">
        <f t="shared" si="24"/>
        <v>30300</v>
      </c>
      <c r="I72" s="20">
        <f>H72*1.12^-5</f>
        <v>17193.033728273556</v>
      </c>
    </row>
    <row r="73" spans="1:9" x14ac:dyDescent="0.2">
      <c r="G73" s="49" t="s">
        <v>83</v>
      </c>
      <c r="H73" s="49"/>
      <c r="I73" s="28">
        <f>SUM(I68:I72)</f>
        <v>24104.238532261479</v>
      </c>
    </row>
    <row r="74" spans="1:9" x14ac:dyDescent="0.2">
      <c r="B74" t="s">
        <v>170</v>
      </c>
    </row>
    <row r="75" spans="1:9" x14ac:dyDescent="0.2">
      <c r="A75" s="54" t="s">
        <v>172</v>
      </c>
      <c r="B75" s="54"/>
      <c r="C75" s="54"/>
      <c r="D75" s="54"/>
      <c r="E75" s="54"/>
      <c r="F75" s="54"/>
      <c r="G75" s="54"/>
    </row>
    <row r="76" spans="1:9" x14ac:dyDescent="0.2">
      <c r="A76" s="51" t="s">
        <v>171</v>
      </c>
      <c r="B76" s="51"/>
      <c r="C76" s="51"/>
    </row>
    <row r="77" spans="1:9" x14ac:dyDescent="0.2">
      <c r="A77" t="s">
        <v>173</v>
      </c>
    </row>
    <row r="78" spans="1:9" x14ac:dyDescent="0.2">
      <c r="A78" s="5" t="s">
        <v>188</v>
      </c>
      <c r="B78" s="5" t="s">
        <v>4</v>
      </c>
      <c r="C78" s="5" t="s">
        <v>5</v>
      </c>
      <c r="D78" s="5" t="s">
        <v>6</v>
      </c>
      <c r="E78" s="5" t="s">
        <v>7</v>
      </c>
      <c r="F78" s="5" t="s">
        <v>8</v>
      </c>
    </row>
    <row r="79" spans="1:9" x14ac:dyDescent="0.2">
      <c r="A79" s="5" t="s">
        <v>33</v>
      </c>
      <c r="B79" s="5">
        <f>B37</f>
        <v>21800</v>
      </c>
      <c r="C79" s="5">
        <f t="shared" ref="C79:F79" si="25">C37</f>
        <v>33800</v>
      </c>
      <c r="D79" s="5">
        <f t="shared" si="25"/>
        <v>47660</v>
      </c>
      <c r="E79" s="5">
        <f t="shared" si="25"/>
        <v>57364</v>
      </c>
      <c r="F79" s="5">
        <f t="shared" si="25"/>
        <v>68293.600000000006</v>
      </c>
    </row>
    <row r="80" spans="1:9" x14ac:dyDescent="0.2">
      <c r="A80" s="5" t="s">
        <v>174</v>
      </c>
      <c r="B80" s="5">
        <v>6000</v>
      </c>
      <c r="C80" s="5">
        <v>6000</v>
      </c>
      <c r="D80" s="5">
        <v>6000</v>
      </c>
      <c r="E80" s="5">
        <v>6000</v>
      </c>
      <c r="F80" s="5">
        <v>6000</v>
      </c>
    </row>
    <row r="81" spans="1:7" x14ac:dyDescent="0.2">
      <c r="A81" s="5" t="s">
        <v>175</v>
      </c>
      <c r="B81" s="5">
        <v>8000</v>
      </c>
      <c r="C81" s="5">
        <v>8000</v>
      </c>
      <c r="D81" s="5">
        <v>8000</v>
      </c>
      <c r="E81" s="5">
        <v>8000</v>
      </c>
      <c r="F81" s="5">
        <v>8000</v>
      </c>
    </row>
    <row r="82" spans="1:7" x14ac:dyDescent="0.2">
      <c r="A82" s="5" t="s">
        <v>176</v>
      </c>
      <c r="B82" s="5">
        <f>B79+B80-B81</f>
        <v>19800</v>
      </c>
      <c r="C82" s="5">
        <f t="shared" ref="C82:F82" si="26">C79+C80-C81</f>
        <v>31800</v>
      </c>
      <c r="D82" s="5">
        <f t="shared" si="26"/>
        <v>45660</v>
      </c>
      <c r="E82" s="5">
        <f t="shared" si="26"/>
        <v>55364</v>
      </c>
      <c r="F82" s="5">
        <f t="shared" si="26"/>
        <v>66293.600000000006</v>
      </c>
    </row>
    <row r="83" spans="1:7" x14ac:dyDescent="0.2">
      <c r="A83" s="5" t="s">
        <v>177</v>
      </c>
      <c r="B83" s="5">
        <f>B82*30%</f>
        <v>5940</v>
      </c>
      <c r="C83" s="5">
        <f t="shared" ref="C83:F83" si="27">C82*30%</f>
        <v>9540</v>
      </c>
      <c r="D83" s="5">
        <f t="shared" si="27"/>
        <v>13698</v>
      </c>
      <c r="E83" s="5">
        <f t="shared" si="27"/>
        <v>16609.2</v>
      </c>
      <c r="F83" s="5">
        <f t="shared" si="27"/>
        <v>19888.080000000002</v>
      </c>
    </row>
    <row r="84" spans="1:7" x14ac:dyDescent="0.2">
      <c r="A84" s="41" t="s">
        <v>178</v>
      </c>
      <c r="B84" s="41">
        <f>B82-B83</f>
        <v>13860</v>
      </c>
      <c r="C84" s="41">
        <f t="shared" ref="C84:F84" si="28">C82-C83</f>
        <v>22260</v>
      </c>
      <c r="D84" s="41">
        <f t="shared" si="28"/>
        <v>31962</v>
      </c>
      <c r="E84" s="41">
        <f t="shared" si="28"/>
        <v>38754.800000000003</v>
      </c>
      <c r="F84" s="41">
        <f t="shared" si="28"/>
        <v>46405.520000000004</v>
      </c>
    </row>
    <row r="85" spans="1:7" x14ac:dyDescent="0.2">
      <c r="A85" s="5" t="s">
        <v>179</v>
      </c>
      <c r="B85" s="5">
        <v>3000</v>
      </c>
      <c r="C85" s="5">
        <v>3000</v>
      </c>
      <c r="D85" s="5">
        <v>3000</v>
      </c>
      <c r="E85" s="5">
        <v>3000</v>
      </c>
      <c r="F85" s="5">
        <v>3000</v>
      </c>
    </row>
    <row r="86" spans="1:7" x14ac:dyDescent="0.2">
      <c r="A86" s="5" t="s">
        <v>180</v>
      </c>
      <c r="B86" s="5">
        <v>200</v>
      </c>
      <c r="C86" s="5">
        <v>200</v>
      </c>
      <c r="D86" s="5">
        <v>200</v>
      </c>
      <c r="E86" s="5"/>
      <c r="F86" s="5"/>
    </row>
    <row r="87" spans="1:7" x14ac:dyDescent="0.2">
      <c r="A87" s="31" t="s">
        <v>181</v>
      </c>
      <c r="B87" s="31">
        <f>B84+B85+B86</f>
        <v>17060</v>
      </c>
      <c r="C87" s="31">
        <f t="shared" ref="C87:F87" si="29">C84+C85+C86</f>
        <v>25460</v>
      </c>
      <c r="D87" s="31">
        <f t="shared" si="29"/>
        <v>35162</v>
      </c>
      <c r="E87" s="31">
        <f t="shared" si="29"/>
        <v>41754.800000000003</v>
      </c>
      <c r="F87" s="31">
        <f t="shared" si="29"/>
        <v>49405.520000000004</v>
      </c>
    </row>
    <row r="89" spans="1:7" x14ac:dyDescent="0.2">
      <c r="A89" t="s">
        <v>182</v>
      </c>
    </row>
    <row r="90" spans="1:7" x14ac:dyDescent="0.2">
      <c r="A90" t="s">
        <v>183</v>
      </c>
      <c r="B90">
        <f>B40</f>
        <v>24460</v>
      </c>
      <c r="C90">
        <f>C40</f>
        <v>32860</v>
      </c>
    </row>
    <row r="91" spans="1:7" x14ac:dyDescent="0.2">
      <c r="A91" t="s">
        <v>184</v>
      </c>
      <c r="B91">
        <f>6000*30%</f>
        <v>1800</v>
      </c>
      <c r="C91">
        <f>6000*30%</f>
        <v>1800</v>
      </c>
      <c r="D91" t="s">
        <v>185</v>
      </c>
    </row>
    <row r="92" spans="1:7" x14ac:dyDescent="0.2">
      <c r="A92" t="s">
        <v>186</v>
      </c>
      <c r="B92">
        <f>8000*70%</f>
        <v>5600</v>
      </c>
      <c r="C92">
        <f>8000*70%</f>
        <v>5600</v>
      </c>
    </row>
    <row r="93" spans="1:7" x14ac:dyDescent="0.2">
      <c r="A93" t="s">
        <v>187</v>
      </c>
      <c r="B93">
        <f>B90-B91-B92</f>
        <v>17060</v>
      </c>
      <c r="C93">
        <f>C90-C91-C92</f>
        <v>25460</v>
      </c>
    </row>
    <row r="95" spans="1:7" x14ac:dyDescent="0.2">
      <c r="A95" s="44" t="s">
        <v>85</v>
      </c>
      <c r="B95" s="5" t="s">
        <v>3</v>
      </c>
      <c r="C95" s="5" t="s">
        <v>4</v>
      </c>
      <c r="D95" s="5" t="s">
        <v>5</v>
      </c>
      <c r="E95" s="5" t="s">
        <v>6</v>
      </c>
      <c r="F95" s="5" t="s">
        <v>7</v>
      </c>
      <c r="G95" s="5" t="s">
        <v>8</v>
      </c>
    </row>
    <row r="96" spans="1:7" x14ac:dyDescent="0.2">
      <c r="A96" s="5" t="s">
        <v>189</v>
      </c>
      <c r="B96" s="5"/>
      <c r="C96" s="5">
        <f>B87</f>
        <v>17060</v>
      </c>
      <c r="D96" s="5">
        <f t="shared" ref="D96:G96" si="30">C87</f>
        <v>25460</v>
      </c>
      <c r="E96" s="5">
        <f t="shared" si="30"/>
        <v>35162</v>
      </c>
      <c r="F96" s="5">
        <f t="shared" si="30"/>
        <v>41754.800000000003</v>
      </c>
      <c r="G96" s="5">
        <f t="shared" si="30"/>
        <v>49405.520000000004</v>
      </c>
    </row>
    <row r="97" spans="1:8" x14ac:dyDescent="0.2">
      <c r="A97" s="5" t="s">
        <v>190</v>
      </c>
      <c r="B97" s="5"/>
      <c r="C97" s="5">
        <v>10000</v>
      </c>
      <c r="D97" s="5">
        <v>10000</v>
      </c>
      <c r="E97" s="5"/>
      <c r="F97" s="5"/>
      <c r="G97" s="5"/>
    </row>
    <row r="98" spans="1:8" x14ac:dyDescent="0.2">
      <c r="A98" s="5" t="s">
        <v>191</v>
      </c>
      <c r="B98" s="5"/>
      <c r="C98" s="5"/>
      <c r="D98" s="5"/>
      <c r="E98" s="5"/>
      <c r="F98" s="5"/>
      <c r="G98" s="5"/>
    </row>
    <row r="99" spans="1:8" x14ac:dyDescent="0.2">
      <c r="A99" s="5" t="s">
        <v>100</v>
      </c>
      <c r="B99" s="5"/>
      <c r="C99" s="5"/>
      <c r="D99" s="5"/>
      <c r="E99" s="5"/>
      <c r="F99" s="5"/>
      <c r="G99" s="5"/>
    </row>
    <row r="100" spans="1:8" x14ac:dyDescent="0.2">
      <c r="A100" s="36" t="s">
        <v>192</v>
      </c>
      <c r="B100" s="36">
        <f>B96+B97</f>
        <v>0</v>
      </c>
      <c r="C100" s="36">
        <f t="shared" ref="C100:G100" si="31">C96+C97</f>
        <v>27060</v>
      </c>
      <c r="D100" s="36">
        <f t="shared" si="31"/>
        <v>35460</v>
      </c>
      <c r="E100" s="36">
        <f t="shared" si="31"/>
        <v>35162</v>
      </c>
      <c r="F100" s="36">
        <f>F96+F97</f>
        <v>41754.800000000003</v>
      </c>
      <c r="G100" s="55">
        <f t="shared" si="31"/>
        <v>49405.520000000004</v>
      </c>
    </row>
    <row r="101" spans="1:8" x14ac:dyDescent="0.2">
      <c r="A101" s="5" t="s">
        <v>193</v>
      </c>
      <c r="B101" s="5"/>
      <c r="C101" s="5"/>
      <c r="D101" s="5">
        <f>B84*30%</f>
        <v>4158</v>
      </c>
      <c r="E101" s="5">
        <f t="shared" ref="E101:G101" si="32">C84*30%</f>
        <v>6678</v>
      </c>
      <c r="F101" s="5">
        <f t="shared" si="32"/>
        <v>9588.6</v>
      </c>
      <c r="G101" s="5">
        <f t="shared" si="32"/>
        <v>11626.44</v>
      </c>
      <c r="H101" t="s">
        <v>194</v>
      </c>
    </row>
    <row r="102" spans="1:8" x14ac:dyDescent="0.2">
      <c r="A102" s="5" t="s">
        <v>195</v>
      </c>
      <c r="B102" s="5">
        <v>22500</v>
      </c>
      <c r="C102" s="5">
        <v>22500</v>
      </c>
      <c r="D102" s="5"/>
      <c r="E102" s="5"/>
      <c r="F102" s="5"/>
      <c r="G102" s="5"/>
    </row>
    <row r="103" spans="1:8" x14ac:dyDescent="0.2">
      <c r="A103" s="5" t="s">
        <v>196</v>
      </c>
      <c r="B103" s="5"/>
      <c r="C103" s="5">
        <v>600</v>
      </c>
      <c r="D103" s="5"/>
      <c r="E103" s="5"/>
      <c r="F103" s="5"/>
      <c r="G103" s="5"/>
    </row>
    <row r="104" spans="1:8" x14ac:dyDescent="0.2">
      <c r="A104" s="5" t="s">
        <v>13</v>
      </c>
      <c r="B104" s="5"/>
      <c r="C104" s="5">
        <f>C14</f>
        <v>6250</v>
      </c>
      <c r="D104" s="5">
        <f t="shared" ref="D104:G104" si="33">D14</f>
        <v>2000</v>
      </c>
      <c r="E104" s="5">
        <f t="shared" si="33"/>
        <v>1650</v>
      </c>
      <c r="F104" s="5">
        <f t="shared" si="33"/>
        <v>1485</v>
      </c>
      <c r="G104" s="5">
        <f t="shared" si="33"/>
        <v>1707.75</v>
      </c>
    </row>
    <row r="105" spans="1:8" x14ac:dyDescent="0.2">
      <c r="A105" s="5" t="s">
        <v>197</v>
      </c>
      <c r="B105" s="5"/>
      <c r="C105" s="5"/>
      <c r="D105" s="5"/>
      <c r="E105" s="5"/>
      <c r="F105" s="5"/>
      <c r="G105" s="5"/>
    </row>
    <row r="106" spans="1:8" x14ac:dyDescent="0.2">
      <c r="A106" s="36" t="s">
        <v>198</v>
      </c>
      <c r="B106" s="36">
        <f>B101+B102+B104</f>
        <v>22500</v>
      </c>
      <c r="C106" s="36">
        <f>C102+C103+C104</f>
        <v>29350</v>
      </c>
      <c r="D106" s="36">
        <f t="shared" ref="C106:G106" si="34">D101+D102+D104</f>
        <v>6158</v>
      </c>
      <c r="E106" s="36">
        <f t="shared" si="34"/>
        <v>8328</v>
      </c>
      <c r="F106" s="36">
        <f t="shared" si="34"/>
        <v>11073.6</v>
      </c>
      <c r="G106" s="36">
        <f t="shared" si="34"/>
        <v>13334.19</v>
      </c>
    </row>
    <row r="107" spans="1:8" x14ac:dyDescent="0.2">
      <c r="A107" s="5" t="s">
        <v>199</v>
      </c>
      <c r="B107" s="5">
        <f>B100-B106</f>
        <v>-22500</v>
      </c>
      <c r="C107" s="5">
        <f t="shared" ref="C107:G107" si="35">C100-C106</f>
        <v>-2290</v>
      </c>
      <c r="D107" s="5">
        <f t="shared" si="35"/>
        <v>29302</v>
      </c>
      <c r="E107" s="5">
        <f t="shared" si="35"/>
        <v>26834</v>
      </c>
      <c r="F107" s="5">
        <f t="shared" si="35"/>
        <v>30681.200000000004</v>
      </c>
      <c r="G107" s="5">
        <f t="shared" si="35"/>
        <v>36071.33</v>
      </c>
    </row>
    <row r="108" spans="1:8" x14ac:dyDescent="0.2">
      <c r="A108" s="5" t="s">
        <v>200</v>
      </c>
      <c r="B108" s="5">
        <v>0</v>
      </c>
      <c r="C108" s="5">
        <f>B109</f>
        <v>-22500</v>
      </c>
      <c r="D108" s="5">
        <f>C109</f>
        <v>-24790</v>
      </c>
      <c r="E108" s="5">
        <f t="shared" ref="E108:G108" si="36">D109</f>
        <v>4512</v>
      </c>
      <c r="F108" s="5">
        <f t="shared" si="36"/>
        <v>31346</v>
      </c>
      <c r="G108" s="5">
        <f t="shared" si="36"/>
        <v>62027.200000000004</v>
      </c>
    </row>
    <row r="109" spans="1:8" x14ac:dyDescent="0.2">
      <c r="A109" s="31" t="s">
        <v>201</v>
      </c>
      <c r="B109" s="31">
        <f>B107+B108</f>
        <v>-22500</v>
      </c>
      <c r="C109" s="31">
        <f>C107+C108</f>
        <v>-24790</v>
      </c>
      <c r="D109" s="31">
        <f t="shared" ref="D109:G109" si="37">D107+D108</f>
        <v>4512</v>
      </c>
      <c r="E109" s="31">
        <f t="shared" si="37"/>
        <v>31346</v>
      </c>
      <c r="F109" s="31">
        <f t="shared" si="37"/>
        <v>62027.200000000004</v>
      </c>
      <c r="G109" s="31">
        <f t="shared" si="37"/>
        <v>98098.53</v>
      </c>
    </row>
    <row r="110" spans="1:8" x14ac:dyDescent="0.2">
      <c r="A110" s="14" t="s">
        <v>202</v>
      </c>
      <c r="B110" s="2"/>
      <c r="C110" s="2"/>
      <c r="D110" s="2"/>
      <c r="E110" s="2"/>
      <c r="F110" s="2"/>
      <c r="G110" s="2"/>
      <c r="H110" s="2"/>
    </row>
    <row r="111" spans="1:8" x14ac:dyDescent="0.2">
      <c r="A111" s="14" t="s">
        <v>203</v>
      </c>
      <c r="B111" s="2"/>
      <c r="C111" s="2"/>
      <c r="D111" s="2"/>
      <c r="E111" s="2"/>
      <c r="F111" s="2"/>
      <c r="G111" s="2"/>
      <c r="H111" s="2"/>
    </row>
  </sheetData>
  <mergeCells count="5">
    <mergeCell ref="D64:E64"/>
    <mergeCell ref="F66:G66"/>
    <mergeCell ref="G73:H73"/>
    <mergeCell ref="A76:C76"/>
    <mergeCell ref="A75:G7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2022-12-20T12:40:11Z</dcterms:created>
  <dcterms:modified xsi:type="dcterms:W3CDTF">2022-12-25T22:14:33Z</dcterms:modified>
</cp:coreProperties>
</file>