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565" activeTab="0"/>
  </bookViews>
  <sheets>
    <sheet name="Classement" sheetId="1" r:id="rId1"/>
    <sheet name="Calcul des points" sheetId="2" r:id="rId2"/>
  </sheets>
  <definedNames/>
  <calcPr fullCalcOnLoad="1"/>
</workbook>
</file>

<file path=xl/sharedStrings.xml><?xml version="1.0" encoding="utf-8"?>
<sst xmlns="http://schemas.openxmlformats.org/spreadsheetml/2006/main" count="59" uniqueCount="59">
  <si>
    <t>Partie à 3</t>
  </si>
  <si>
    <t>Partie à 4</t>
  </si>
  <si>
    <t>Partie à 5</t>
  </si>
  <si>
    <t>Partie à 6</t>
  </si>
  <si>
    <t>Partie à 7</t>
  </si>
  <si>
    <t>Partie à 8</t>
  </si>
  <si>
    <t>Partie à 9</t>
  </si>
  <si>
    <t>Partie à 10</t>
  </si>
  <si>
    <t>Points par ordre de sortie</t>
  </si>
  <si>
    <t>Ordre de sortie</t>
  </si>
  <si>
    <t>Type de partie</t>
  </si>
  <si>
    <t>Coef d'augment des points</t>
  </si>
  <si>
    <t>Le principe des points :</t>
  </si>
  <si>
    <t>- Difficile de comparer la performance entre le premier sortant d'une partie à 3 et le premier sortant d'une partie à 10, donc le point de départ, c'est 10 points</t>
  </si>
  <si>
    <t>- Le nombre de points attribués au 1e augmente avec le nb de joueurs</t>
  </si>
  <si>
    <t>- Le 2e d'une partie à 6 joueurs (67 pts) gagne plus de points que le 2e d'une partie à 5 joueurs (46 points) mais moins de points que le 1er d'une partie à 5 joueurs (76 points)</t>
  </si>
  <si>
    <t>- Chaque participation donne un minimum de points (10)</t>
  </si>
  <si>
    <t>Partie 1</t>
  </si>
  <si>
    <t>Partie 7</t>
  </si>
  <si>
    <t>Partie 6</t>
  </si>
  <si>
    <t>Partie 5</t>
  </si>
  <si>
    <t>Partie 4</t>
  </si>
  <si>
    <t>Partie 3</t>
  </si>
  <si>
    <t>Partie 2</t>
  </si>
  <si>
    <t>Partie 11</t>
  </si>
  <si>
    <t>Partie 10</t>
  </si>
  <si>
    <t>Partie 9</t>
  </si>
  <si>
    <t>Partie 8</t>
  </si>
  <si>
    <t>Partie 15</t>
  </si>
  <si>
    <t>Partie 14</t>
  </si>
  <si>
    <t>Partie 13</t>
  </si>
  <si>
    <t>Partie 12</t>
  </si>
  <si>
    <t>Total des meilleures perfs</t>
  </si>
  <si>
    <t>Nombre de perf qui comptent :</t>
  </si>
  <si>
    <t>Pseudo Pokerstars</t>
  </si>
  <si>
    <t>Classement provisoire</t>
  </si>
  <si>
    <t>- Un "bounty" de 10 points est attribué à celui qui sort le vainqueur de l'étape précédente</t>
  </si>
  <si>
    <t>scottydauby</t>
  </si>
  <si>
    <t>yldi72</t>
  </si>
  <si>
    <t>vinuz7410</t>
  </si>
  <si>
    <t>samotai</t>
  </si>
  <si>
    <t>pipo92</t>
  </si>
  <si>
    <t>pascal</t>
  </si>
  <si>
    <t>jeanbad</t>
  </si>
  <si>
    <t>arno_ben</t>
  </si>
  <si>
    <t>Solde = Gains - buyin +/- transferts</t>
  </si>
  <si>
    <t>touiavii</t>
  </si>
  <si>
    <t>Buy-in - fees</t>
  </si>
  <si>
    <t>Gains</t>
  </si>
  <si>
    <t>Transferts effectués</t>
  </si>
  <si>
    <t>Transferts reçus</t>
  </si>
  <si>
    <t>owen wilson</t>
  </si>
  <si>
    <t>Samaru 1</t>
  </si>
  <si>
    <t>Nb de participations</t>
  </si>
  <si>
    <t>Perf. Moyenne</t>
  </si>
  <si>
    <t>Pyramide</t>
  </si>
  <si>
    <t>A répartir</t>
  </si>
  <si>
    <t>Répartition</t>
  </si>
  <si>
    <t>polovich33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</si>
</sst>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C]dddd\ d\ mmmm\ yyyy"/>
    <numFmt numFmtId="173" formatCode="dd/mm/yy;@"/>
    <numFmt numFmtId="174" formatCode="mmm\-yyyy"/>
    <numFmt numFmtId="175" formatCode="#,##0.0_);[Red]\(#,##0.0\)"/>
    <numFmt numFmtId="176" formatCode="#,##0.0\ _€;[Red]\-#,##0.0\ _€"/>
    <numFmt numFmtId="177" formatCode="#,##0.0_ ;[Red]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1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vertical="center" wrapText="1"/>
    </xf>
    <xf numFmtId="38" fontId="1" fillId="0" borderId="20" xfId="0" applyNumberFormat="1" applyFont="1" applyBorder="1" applyAlignment="1">
      <alignment horizontal="center" vertical="center" wrapText="1"/>
    </xf>
    <xf numFmtId="38" fontId="1" fillId="0" borderId="2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175" fontId="1" fillId="0" borderId="20" xfId="0" applyNumberFormat="1" applyFont="1" applyBorder="1" applyAlignment="1">
      <alignment horizontal="center" vertical="center" wrapText="1"/>
    </xf>
    <xf numFmtId="175" fontId="1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0" xfId="0" applyAlignment="1" quotePrefix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45"/>
          <c:w val="0.731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'Calcul des points'!$A$4</c:f>
              <c:strCache>
                <c:ptCount val="1"/>
                <c:pt idx="0">
                  <c:v>Partie à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'Calcul des points'!$B$1:$K$3</c:f>
              <c:multiLvlStrCache/>
            </c:multiLvlStrRef>
          </c:cat>
          <c:val>
            <c:numRef>
              <c:f>'Calcul des points'!$B$4:$K$4</c:f>
              <c:numCache/>
            </c:numRef>
          </c:val>
          <c:smooth val="0"/>
        </c:ser>
        <c:ser>
          <c:idx val="1"/>
          <c:order val="1"/>
          <c:tx>
            <c:strRef>
              <c:f>'Calcul des points'!$A$5</c:f>
              <c:strCache>
                <c:ptCount val="1"/>
                <c:pt idx="0">
                  <c:v>Partie à 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'Calcul des points'!$B$1:$K$3</c:f>
              <c:multiLvlStrCache/>
            </c:multiLvlStrRef>
          </c:cat>
          <c:val>
            <c:numRef>
              <c:f>'Calcul des points'!$B$5:$K$5</c:f>
              <c:numCache/>
            </c:numRef>
          </c:val>
          <c:smooth val="0"/>
        </c:ser>
        <c:ser>
          <c:idx val="2"/>
          <c:order val="2"/>
          <c:tx>
            <c:strRef>
              <c:f>'Calcul des points'!$A$6</c:f>
              <c:strCache>
                <c:ptCount val="1"/>
                <c:pt idx="0">
                  <c:v>Partie à 5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multiLvlStrRef>
              <c:f>'Calcul des points'!$B$1:$K$3</c:f>
              <c:multiLvlStrCache/>
            </c:multiLvlStrRef>
          </c:cat>
          <c:val>
            <c:numRef>
              <c:f>'Calcul des points'!$B$6:$K$6</c:f>
              <c:numCache/>
            </c:numRef>
          </c:val>
          <c:smooth val="0"/>
        </c:ser>
        <c:ser>
          <c:idx val="3"/>
          <c:order val="3"/>
          <c:tx>
            <c:strRef>
              <c:f>'Calcul des points'!$A$7</c:f>
              <c:strCache>
                <c:ptCount val="1"/>
                <c:pt idx="0">
                  <c:v>Partie à 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'Calcul des points'!$B$1:$K$3</c:f>
              <c:multiLvlStrCache/>
            </c:multiLvlStrRef>
          </c:cat>
          <c:val>
            <c:numRef>
              <c:f>'Calcul des points'!$B$7:$K$7</c:f>
              <c:numCache/>
            </c:numRef>
          </c:val>
          <c:smooth val="0"/>
        </c:ser>
        <c:ser>
          <c:idx val="4"/>
          <c:order val="4"/>
          <c:tx>
            <c:strRef>
              <c:f>'Calcul des points'!$A$8</c:f>
              <c:strCache>
                <c:ptCount val="1"/>
                <c:pt idx="0">
                  <c:v>Partie à 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'Calcul des points'!$B$1:$K$3</c:f>
              <c:multiLvlStrCache/>
            </c:multiLvlStrRef>
          </c:cat>
          <c:val>
            <c:numRef>
              <c:f>'Calcul des points'!$B$8:$K$8</c:f>
              <c:numCache/>
            </c:numRef>
          </c:val>
          <c:smooth val="0"/>
        </c:ser>
        <c:ser>
          <c:idx val="5"/>
          <c:order val="5"/>
          <c:tx>
            <c:strRef>
              <c:f>'Calcul des points'!$A$9</c:f>
              <c:strCache>
                <c:ptCount val="1"/>
                <c:pt idx="0">
                  <c:v>Partie à 8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'Calcul des points'!$B$1:$K$3</c:f>
              <c:multiLvlStrCache/>
            </c:multiLvlStrRef>
          </c:cat>
          <c:val>
            <c:numRef>
              <c:f>'Calcul des points'!$B$9:$K$9</c:f>
              <c:numCache/>
            </c:numRef>
          </c:val>
          <c:smooth val="0"/>
        </c:ser>
        <c:ser>
          <c:idx val="6"/>
          <c:order val="6"/>
          <c:tx>
            <c:strRef>
              <c:f>'Calcul des points'!$A$10</c:f>
              <c:strCache>
                <c:ptCount val="1"/>
                <c:pt idx="0">
                  <c:v>Partie à 9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'Calcul des points'!$B$1:$K$3</c:f>
              <c:multiLvlStrCache/>
            </c:multiLvlStrRef>
          </c:cat>
          <c:val>
            <c:numRef>
              <c:f>'Calcul des points'!$B$10:$K$10</c:f>
              <c:numCache/>
            </c:numRef>
          </c:val>
          <c:smooth val="0"/>
        </c:ser>
        <c:ser>
          <c:idx val="7"/>
          <c:order val="7"/>
          <c:tx>
            <c:strRef>
              <c:f>'Calcul des points'!$A$11</c:f>
              <c:strCache>
                <c:ptCount val="1"/>
                <c:pt idx="0">
                  <c:v>Partie à 10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'Calcul des points'!$B$1:$K$3</c:f>
              <c:multiLvlStrCache/>
            </c:multiLvlStrRef>
          </c:cat>
          <c:val>
            <c:numRef>
              <c:f>'Calcul des points'!$B$11:$K$11</c:f>
              <c:numCache/>
            </c:numRef>
          </c:val>
          <c:smooth val="0"/>
        </c:ser>
        <c:marker val="1"/>
        <c:axId val="65667050"/>
        <c:axId val="54132539"/>
      </c:lineChart>
      <c:catAx>
        <c:axId val="6566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2539"/>
        <c:crosses val="autoZero"/>
        <c:auto val="1"/>
        <c:lblOffset val="100"/>
        <c:tickLblSkip val="1"/>
        <c:noMultiLvlLbl val="0"/>
      </c:catAx>
      <c:valAx>
        <c:axId val="54132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67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3155"/>
          <c:w val="0.2185"/>
          <c:h val="0.6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171450</xdr:rowOff>
    </xdr:from>
    <xdr:to>
      <xdr:col>12</xdr:col>
      <xdr:colOff>9525</xdr:colOff>
      <xdr:row>26</xdr:row>
      <xdr:rowOff>57150</xdr:rowOff>
    </xdr:to>
    <xdr:graphicFrame>
      <xdr:nvGraphicFramePr>
        <xdr:cNvPr id="1" name="Graphique 1"/>
        <xdr:cNvGraphicFramePr/>
      </xdr:nvGraphicFramePr>
      <xdr:xfrm>
        <a:off x="4410075" y="2266950"/>
        <a:ext cx="4400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pane xSplit="5" ySplit="3" topLeftCell="J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4" sqref="J4"/>
    </sheetView>
  </sheetViews>
  <sheetFormatPr defaultColWidth="11.421875" defaultRowHeight="15"/>
  <cols>
    <col min="1" max="1" width="16.8515625" style="20" customWidth="1"/>
    <col min="2" max="4" width="11.421875" style="20" customWidth="1"/>
    <col min="5" max="5" width="7.8515625" style="20" customWidth="1"/>
    <col min="6" max="9" width="11.421875" style="21" hidden="1" customWidth="1"/>
    <col min="10" max="20" width="11.421875" style="21" customWidth="1"/>
    <col min="21" max="21" width="4.28125" style="20" customWidth="1"/>
    <col min="22" max="22" width="13.140625" style="20" customWidth="1"/>
    <col min="23" max="23" width="2.421875" style="20" customWidth="1"/>
    <col min="24" max="27" width="8.8515625" style="20" customWidth="1"/>
    <col min="28" max="16384" width="11.421875" style="20" customWidth="1"/>
  </cols>
  <sheetData>
    <row r="1" spans="1:27" ht="14.25" customHeight="1">
      <c r="A1" s="46" t="s">
        <v>34</v>
      </c>
      <c r="B1" s="45" t="s">
        <v>35</v>
      </c>
      <c r="C1" s="45" t="s">
        <v>53</v>
      </c>
      <c r="D1" s="45" t="s">
        <v>32</v>
      </c>
      <c r="E1" s="45" t="s">
        <v>54</v>
      </c>
      <c r="F1" s="25"/>
      <c r="G1" s="25"/>
      <c r="H1" s="25"/>
      <c r="I1" s="25"/>
      <c r="J1" s="25">
        <v>39694</v>
      </c>
      <c r="K1" s="25">
        <v>39639</v>
      </c>
      <c r="L1" s="25">
        <v>39631</v>
      </c>
      <c r="M1" s="25">
        <v>39617</v>
      </c>
      <c r="N1" s="25">
        <v>39758</v>
      </c>
      <c r="O1" s="25">
        <v>39603</v>
      </c>
      <c r="P1" s="25">
        <v>39596</v>
      </c>
      <c r="Q1" s="25">
        <v>39589</v>
      </c>
      <c r="R1" s="25">
        <v>39582</v>
      </c>
      <c r="S1" s="25">
        <v>39576</v>
      </c>
      <c r="T1" s="25">
        <v>39568</v>
      </c>
      <c r="V1" s="45" t="s">
        <v>45</v>
      </c>
      <c r="X1" s="48" t="s">
        <v>47</v>
      </c>
      <c r="Y1" s="48" t="s">
        <v>48</v>
      </c>
      <c r="Z1" s="48" t="s">
        <v>49</v>
      </c>
      <c r="AA1" s="48" t="s">
        <v>50</v>
      </c>
    </row>
    <row r="2" spans="1:27" ht="14.25" customHeight="1">
      <c r="A2" s="47"/>
      <c r="B2" s="45"/>
      <c r="C2" s="45"/>
      <c r="D2" s="45"/>
      <c r="E2" s="45"/>
      <c r="F2" s="26" t="s">
        <v>28</v>
      </c>
      <c r="G2" s="26" t="s">
        <v>29</v>
      </c>
      <c r="H2" s="26" t="s">
        <v>30</v>
      </c>
      <c r="I2" s="26" t="s">
        <v>31</v>
      </c>
      <c r="J2" s="26" t="s">
        <v>24</v>
      </c>
      <c r="K2" s="26" t="s">
        <v>25</v>
      </c>
      <c r="L2" s="26" t="s">
        <v>26</v>
      </c>
      <c r="M2" s="26" t="s">
        <v>27</v>
      </c>
      <c r="N2" s="26" t="s">
        <v>18</v>
      </c>
      <c r="O2" s="26" t="s">
        <v>19</v>
      </c>
      <c r="P2" s="26" t="s">
        <v>20</v>
      </c>
      <c r="Q2" s="26" t="s">
        <v>21</v>
      </c>
      <c r="R2" s="26" t="s">
        <v>22</v>
      </c>
      <c r="S2" s="26" t="s">
        <v>23</v>
      </c>
      <c r="T2" s="26" t="s">
        <v>17</v>
      </c>
      <c r="V2" s="45"/>
      <c r="X2" s="48"/>
      <c r="Y2" s="48"/>
      <c r="Z2" s="48"/>
      <c r="AA2" s="48"/>
    </row>
    <row r="3" spans="24:27" ht="5.25" customHeight="1">
      <c r="X3" s="24"/>
      <c r="Y3" s="24"/>
      <c r="Z3" s="24"/>
      <c r="AA3" s="24"/>
    </row>
    <row r="4" spans="1:29" ht="14.25" customHeight="1">
      <c r="A4" s="37" t="s">
        <v>44</v>
      </c>
      <c r="B4" s="33">
        <f>RANK(D4,D$4:D$27,0)</f>
        <v>2</v>
      </c>
      <c r="C4" s="35">
        <f>COUNTIF(F4:T4,"&gt;0")</f>
        <v>11</v>
      </c>
      <c r="D4" s="37">
        <f>SUM($F5:$T5)</f>
        <v>566</v>
      </c>
      <c r="E4" s="39">
        <f>IF(C4&gt;0,SUM($F4:$T4)/C4,0)</f>
        <v>52.36363636363637</v>
      </c>
      <c r="F4" s="23">
        <v>0</v>
      </c>
      <c r="G4" s="23">
        <v>0</v>
      </c>
      <c r="H4" s="23">
        <v>0</v>
      </c>
      <c r="I4" s="23">
        <v>0</v>
      </c>
      <c r="J4" s="23">
        <v>60</v>
      </c>
      <c r="K4" s="23">
        <v>76</v>
      </c>
      <c r="L4" s="23">
        <v>144</v>
      </c>
      <c r="M4" s="23">
        <v>26</v>
      </c>
      <c r="N4" s="23">
        <v>26</v>
      </c>
      <c r="O4" s="23">
        <v>23</v>
      </c>
      <c r="P4" s="23">
        <v>97</v>
      </c>
      <c r="Q4" s="23">
        <v>46</v>
      </c>
      <c r="R4" s="23">
        <v>10</v>
      </c>
      <c r="S4" s="23">
        <v>39</v>
      </c>
      <c r="T4" s="23">
        <v>29</v>
      </c>
      <c r="U4" s="31"/>
      <c r="V4" s="41">
        <f>-X4+Y4-Z4+AA4</f>
        <v>2.5</v>
      </c>
      <c r="X4" s="43">
        <f>COUNTIF(F4:T4,"&gt;0")*5</f>
        <v>55</v>
      </c>
      <c r="Y4" s="49">
        <f>6+7.5+9+17.5+12.5</f>
        <v>52.5</v>
      </c>
      <c r="Z4" s="43"/>
      <c r="AA4" s="43">
        <f>5</f>
        <v>5</v>
      </c>
      <c r="AB4" s="20">
        <f>-7.5</f>
        <v>-7.5</v>
      </c>
      <c r="AC4" s="32">
        <f>V4+AB4</f>
        <v>-5</v>
      </c>
    </row>
    <row r="5" spans="1:27" ht="4.5" customHeight="1">
      <c r="A5" s="38"/>
      <c r="B5" s="34"/>
      <c r="C5" s="36"/>
      <c r="D5" s="38"/>
      <c r="E5" s="40"/>
      <c r="F5" s="22">
        <f aca="true" t="shared" si="0" ref="F5:T5">IF(RANK(F4,$F4:$T4,0)&lt;=$D$29,F4,0)</f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60</v>
      </c>
      <c r="K5" s="22">
        <f t="shared" si="0"/>
        <v>76</v>
      </c>
      <c r="L5" s="22">
        <f t="shared" si="0"/>
        <v>144</v>
      </c>
      <c r="M5" s="22">
        <f t="shared" si="0"/>
        <v>26</v>
      </c>
      <c r="N5" s="22">
        <f t="shared" si="0"/>
        <v>26</v>
      </c>
      <c r="O5" s="22">
        <f t="shared" si="0"/>
        <v>23</v>
      </c>
      <c r="P5" s="22">
        <f t="shared" si="0"/>
        <v>97</v>
      </c>
      <c r="Q5" s="22">
        <f t="shared" si="0"/>
        <v>46</v>
      </c>
      <c r="R5" s="22">
        <f t="shared" si="0"/>
        <v>0</v>
      </c>
      <c r="S5" s="22">
        <f t="shared" si="0"/>
        <v>39</v>
      </c>
      <c r="T5" s="22">
        <f t="shared" si="0"/>
        <v>29</v>
      </c>
      <c r="V5" s="42"/>
      <c r="X5" s="44"/>
      <c r="Y5" s="50"/>
      <c r="Z5" s="44"/>
      <c r="AA5" s="44"/>
    </row>
    <row r="6" spans="1:29" ht="14.25" customHeight="1">
      <c r="A6" s="37" t="s">
        <v>43</v>
      </c>
      <c r="B6" s="33">
        <f>RANK(D6,D$4:D$27,0)</f>
        <v>3</v>
      </c>
      <c r="C6" s="35">
        <f>COUNTIF(F6:T6,"&gt;0")</f>
        <v>6</v>
      </c>
      <c r="D6" s="37">
        <f>SUM($F7:$T7)</f>
        <v>540</v>
      </c>
      <c r="E6" s="39">
        <f>IF(C6&gt;0,SUM($F6:$T6)/C6,0)</f>
        <v>90</v>
      </c>
      <c r="F6" s="23">
        <v>0</v>
      </c>
      <c r="G6" s="23">
        <v>0</v>
      </c>
      <c r="H6" s="23">
        <v>0</v>
      </c>
      <c r="I6" s="23">
        <v>0</v>
      </c>
      <c r="J6" s="23">
        <v>144</v>
      </c>
      <c r="K6" s="23"/>
      <c r="L6" s="23"/>
      <c r="M6" s="23">
        <v>67</v>
      </c>
      <c r="N6" s="23">
        <v>42</v>
      </c>
      <c r="O6" s="23">
        <v>53</v>
      </c>
      <c r="P6" s="23">
        <v>141</v>
      </c>
      <c r="Q6" s="23"/>
      <c r="R6" s="23">
        <v>93</v>
      </c>
      <c r="S6" s="23"/>
      <c r="T6" s="23"/>
      <c r="U6" s="31"/>
      <c r="V6" s="41">
        <f>-X6+Y6-Z6+AA6</f>
        <v>-11.5</v>
      </c>
      <c r="X6" s="43">
        <f>COUNTIF(F6:T6,"&gt;0")*5</f>
        <v>30</v>
      </c>
      <c r="Y6" s="49">
        <f>10.5+13.5+6+9</f>
        <v>39</v>
      </c>
      <c r="Z6" s="43">
        <f>5+5+5+5.5</f>
        <v>20.5</v>
      </c>
      <c r="AA6" s="43"/>
      <c r="AB6" s="20">
        <f>5+1.5</f>
        <v>6.5</v>
      </c>
      <c r="AC6" s="32">
        <f>V6+AB6</f>
        <v>-5</v>
      </c>
    </row>
    <row r="7" spans="1:27" ht="4.5" customHeight="1">
      <c r="A7" s="38"/>
      <c r="B7" s="34"/>
      <c r="C7" s="36"/>
      <c r="D7" s="38"/>
      <c r="E7" s="40"/>
      <c r="F7" s="22">
        <f aca="true" t="shared" si="1" ref="F7:T7">IF(RANK(F6,$F6:$T6,0)&lt;=$D$29,F6,0)</f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144</v>
      </c>
      <c r="K7" s="22">
        <f t="shared" si="1"/>
        <v>0</v>
      </c>
      <c r="L7" s="22">
        <f t="shared" si="1"/>
        <v>0</v>
      </c>
      <c r="M7" s="22">
        <f t="shared" si="1"/>
        <v>67</v>
      </c>
      <c r="N7" s="22">
        <f t="shared" si="1"/>
        <v>42</v>
      </c>
      <c r="O7" s="22">
        <f t="shared" si="1"/>
        <v>53</v>
      </c>
      <c r="P7" s="22">
        <f t="shared" si="1"/>
        <v>141</v>
      </c>
      <c r="Q7" s="22">
        <f t="shared" si="1"/>
        <v>0</v>
      </c>
      <c r="R7" s="22">
        <f t="shared" si="1"/>
        <v>93</v>
      </c>
      <c r="S7" s="22">
        <f t="shared" si="1"/>
        <v>0</v>
      </c>
      <c r="T7" s="22">
        <f t="shared" si="1"/>
        <v>0</v>
      </c>
      <c r="V7" s="42"/>
      <c r="X7" s="44"/>
      <c r="Y7" s="50"/>
      <c r="Z7" s="44"/>
      <c r="AA7" s="44"/>
    </row>
    <row r="8" spans="1:29" ht="14.25" customHeight="1">
      <c r="A8" s="37" t="s">
        <v>42</v>
      </c>
      <c r="B8" s="33">
        <f>RANK(D8,D$4:D$27,0)</f>
        <v>12</v>
      </c>
      <c r="C8" s="35">
        <f>COUNTIF(F8:T8,"&gt;0")</f>
        <v>0</v>
      </c>
      <c r="D8" s="37">
        <f>SUM($F9:$T9)</f>
        <v>0</v>
      </c>
      <c r="E8" s="39">
        <f>IF(C8&gt;0,SUM($F8:$T8)/C8,0)</f>
        <v>0</v>
      </c>
      <c r="F8" s="23">
        <v>0</v>
      </c>
      <c r="G8" s="23">
        <v>0</v>
      </c>
      <c r="H8" s="23">
        <v>0</v>
      </c>
      <c r="I8" s="23">
        <v>0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V8" s="41">
        <f>-X8+Y8-Z8+AA8</f>
        <v>0</v>
      </c>
      <c r="X8" s="43">
        <f>COUNTIF(F8:T8,"&gt;0")*5</f>
        <v>0</v>
      </c>
      <c r="Y8" s="49"/>
      <c r="Z8" s="43"/>
      <c r="AA8" s="43"/>
      <c r="AC8" s="32">
        <f>V8+AB8</f>
        <v>0</v>
      </c>
    </row>
    <row r="9" spans="1:27" ht="4.5" customHeight="1">
      <c r="A9" s="38"/>
      <c r="B9" s="34"/>
      <c r="C9" s="36"/>
      <c r="D9" s="38"/>
      <c r="E9" s="40"/>
      <c r="F9" s="22">
        <f aca="true" t="shared" si="2" ref="F9:T9">IF(RANK(F8,$F8:$T8,0)&lt;=$D$29,F8,0)</f>
        <v>0</v>
      </c>
      <c r="G9" s="22">
        <f t="shared" si="2"/>
        <v>0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0</v>
      </c>
      <c r="O9" s="22">
        <f t="shared" si="2"/>
        <v>0</v>
      </c>
      <c r="P9" s="22">
        <f t="shared" si="2"/>
        <v>0</v>
      </c>
      <c r="Q9" s="22">
        <f t="shared" si="2"/>
        <v>0</v>
      </c>
      <c r="R9" s="22">
        <f t="shared" si="2"/>
        <v>0</v>
      </c>
      <c r="S9" s="22">
        <f t="shared" si="2"/>
        <v>0</v>
      </c>
      <c r="T9" s="22">
        <f t="shared" si="2"/>
        <v>0</v>
      </c>
      <c r="V9" s="42"/>
      <c r="X9" s="44"/>
      <c r="Y9" s="50"/>
      <c r="Z9" s="44"/>
      <c r="AA9" s="44"/>
    </row>
    <row r="10" spans="1:29" ht="14.25" customHeight="1">
      <c r="A10" s="37" t="s">
        <v>41</v>
      </c>
      <c r="B10" s="33">
        <f>RANK(D10,D$4:D$27,0)</f>
        <v>7</v>
      </c>
      <c r="C10" s="35">
        <f>COUNTIF(F10:T10,"&gt;0")</f>
        <v>8</v>
      </c>
      <c r="D10" s="37">
        <f>SUM($F11:$T11)</f>
        <v>377</v>
      </c>
      <c r="E10" s="39">
        <f>IF(C10&gt;0,SUM($F10:$T10)/C10,0)</f>
        <v>47.125</v>
      </c>
      <c r="F10" s="23">
        <v>0</v>
      </c>
      <c r="G10" s="23">
        <v>0</v>
      </c>
      <c r="H10" s="23">
        <v>0</v>
      </c>
      <c r="I10" s="23">
        <v>0</v>
      </c>
      <c r="J10" s="23">
        <v>93</v>
      </c>
      <c r="K10" s="23">
        <v>28</v>
      </c>
      <c r="L10" s="23">
        <v>93</v>
      </c>
      <c r="M10" s="23"/>
      <c r="N10" s="23">
        <v>16</v>
      </c>
      <c r="O10" s="23">
        <v>10</v>
      </c>
      <c r="P10" s="23"/>
      <c r="Q10" s="23">
        <v>17</v>
      </c>
      <c r="R10" s="23">
        <v>60</v>
      </c>
      <c r="S10" s="23">
        <v>60</v>
      </c>
      <c r="T10" s="23"/>
      <c r="U10" s="31"/>
      <c r="V10" s="41">
        <f>-X10+Y10-Z10+AA10</f>
        <v>-5.5</v>
      </c>
      <c r="X10" s="43">
        <f>COUNTIF(F10:T10,"&gt;0")*5</f>
        <v>40</v>
      </c>
      <c r="Y10" s="49">
        <f>7+7+10.5+5</f>
        <v>29.5</v>
      </c>
      <c r="Z10" s="43">
        <v>5</v>
      </c>
      <c r="AA10" s="43">
        <f>5+5</f>
        <v>10</v>
      </c>
      <c r="AB10" s="20">
        <v>0.5</v>
      </c>
      <c r="AC10" s="32">
        <f>V10+AB10</f>
        <v>-5</v>
      </c>
    </row>
    <row r="11" spans="1:27" ht="4.5" customHeight="1">
      <c r="A11" s="38"/>
      <c r="B11" s="34"/>
      <c r="C11" s="36"/>
      <c r="D11" s="38"/>
      <c r="E11" s="40"/>
      <c r="F11" s="22">
        <f aca="true" t="shared" si="3" ref="F11:T11">IF(RANK(F10,$F10:$T10,0)&lt;=$D$29,F10,0)</f>
        <v>0</v>
      </c>
      <c r="G11" s="22">
        <f t="shared" si="3"/>
        <v>0</v>
      </c>
      <c r="H11" s="22">
        <f t="shared" si="3"/>
        <v>0</v>
      </c>
      <c r="I11" s="22">
        <f t="shared" si="3"/>
        <v>0</v>
      </c>
      <c r="J11" s="22">
        <f t="shared" si="3"/>
        <v>93</v>
      </c>
      <c r="K11" s="22">
        <f t="shared" si="3"/>
        <v>28</v>
      </c>
      <c r="L11" s="22">
        <f t="shared" si="3"/>
        <v>93</v>
      </c>
      <c r="M11" s="22">
        <f t="shared" si="3"/>
        <v>0</v>
      </c>
      <c r="N11" s="22">
        <f t="shared" si="3"/>
        <v>16</v>
      </c>
      <c r="O11" s="22">
        <f t="shared" si="3"/>
        <v>10</v>
      </c>
      <c r="P11" s="22">
        <f t="shared" si="3"/>
        <v>0</v>
      </c>
      <c r="Q11" s="22">
        <f t="shared" si="3"/>
        <v>17</v>
      </c>
      <c r="R11" s="22">
        <f t="shared" si="3"/>
        <v>60</v>
      </c>
      <c r="S11" s="22">
        <f t="shared" si="3"/>
        <v>60</v>
      </c>
      <c r="T11" s="22">
        <f t="shared" si="3"/>
        <v>0</v>
      </c>
      <c r="V11" s="42"/>
      <c r="X11" s="44"/>
      <c r="Y11" s="50"/>
      <c r="Z11" s="44"/>
      <c r="AA11" s="44"/>
    </row>
    <row r="12" spans="1:29" ht="14.25" customHeight="1">
      <c r="A12" s="37" t="s">
        <v>51</v>
      </c>
      <c r="B12" s="33">
        <f>RANK(D12,D$4:D$27,0)</f>
        <v>8</v>
      </c>
      <c r="C12" s="35">
        <f>COUNTIF(F12:T12,"&gt;0")</f>
        <v>4</v>
      </c>
      <c r="D12" s="37">
        <f>SUM($F13:$T13)</f>
        <v>158</v>
      </c>
      <c r="E12" s="39">
        <f>IF(C12&gt;0,SUM($F12:$T12)/C12,0)</f>
        <v>39.5</v>
      </c>
      <c r="F12" s="23">
        <v>0</v>
      </c>
      <c r="G12" s="23">
        <v>0</v>
      </c>
      <c r="H12" s="23">
        <v>0</v>
      </c>
      <c r="I12" s="23">
        <v>0</v>
      </c>
      <c r="J12" s="23"/>
      <c r="K12" s="23"/>
      <c r="L12" s="23">
        <f>25+10</f>
        <v>35</v>
      </c>
      <c r="M12" s="23">
        <v>42</v>
      </c>
      <c r="N12" s="23"/>
      <c r="O12" s="23">
        <v>35</v>
      </c>
      <c r="P12" s="23">
        <v>46</v>
      </c>
      <c r="Q12" s="23"/>
      <c r="R12" s="23"/>
      <c r="S12" s="23"/>
      <c r="T12" s="23"/>
      <c r="U12" s="31"/>
      <c r="V12" s="41">
        <f>-X12+Y12-Z12+AA12</f>
        <v>3.5</v>
      </c>
      <c r="X12" s="43">
        <f>COUNTIF(F12:T12,"&gt;0")*5</f>
        <v>20</v>
      </c>
      <c r="Y12" s="49">
        <v>6</v>
      </c>
      <c r="Z12" s="43">
        <f>5</f>
        <v>5</v>
      </c>
      <c r="AA12" s="43">
        <f>5+5+6+1+5.5</f>
        <v>22.5</v>
      </c>
      <c r="AB12" s="20">
        <f>-1.5-0.5-1-0.5</f>
        <v>-3.5</v>
      </c>
      <c r="AC12" s="32">
        <f>V12+AB12</f>
        <v>0</v>
      </c>
    </row>
    <row r="13" spans="1:27" ht="4.5" customHeight="1">
      <c r="A13" s="38"/>
      <c r="B13" s="34"/>
      <c r="C13" s="36"/>
      <c r="D13" s="38"/>
      <c r="E13" s="40"/>
      <c r="F13" s="22">
        <f aca="true" t="shared" si="4" ref="F13:T13">IF(RANK(F12,$F12:$T12,0)&lt;=$D$29,F12,0)</f>
        <v>0</v>
      </c>
      <c r="G13" s="22">
        <f t="shared" si="4"/>
        <v>0</v>
      </c>
      <c r="H13" s="22">
        <f t="shared" si="4"/>
        <v>0</v>
      </c>
      <c r="I13" s="22">
        <f t="shared" si="4"/>
        <v>0</v>
      </c>
      <c r="J13" s="22">
        <f t="shared" si="4"/>
        <v>0</v>
      </c>
      <c r="K13" s="22">
        <f t="shared" si="4"/>
        <v>0</v>
      </c>
      <c r="L13" s="22">
        <f t="shared" si="4"/>
        <v>35</v>
      </c>
      <c r="M13" s="22">
        <f t="shared" si="4"/>
        <v>42</v>
      </c>
      <c r="N13" s="22">
        <f t="shared" si="4"/>
        <v>0</v>
      </c>
      <c r="O13" s="22">
        <f t="shared" si="4"/>
        <v>35</v>
      </c>
      <c r="P13" s="22">
        <f t="shared" si="4"/>
        <v>46</v>
      </c>
      <c r="Q13" s="22">
        <f t="shared" si="4"/>
        <v>0</v>
      </c>
      <c r="R13" s="22">
        <f t="shared" si="4"/>
        <v>0</v>
      </c>
      <c r="S13" s="22">
        <f t="shared" si="4"/>
        <v>0</v>
      </c>
      <c r="T13" s="22">
        <f t="shared" si="4"/>
        <v>0</v>
      </c>
      <c r="V13" s="42"/>
      <c r="X13" s="44"/>
      <c r="Y13" s="50"/>
      <c r="Z13" s="44"/>
      <c r="AA13" s="44"/>
    </row>
    <row r="14" spans="1:29" s="30" customFormat="1" ht="14.25" customHeight="1">
      <c r="A14" s="37" t="s">
        <v>58</v>
      </c>
      <c r="B14" s="33">
        <f>RANK(D14,D$4:D$27,0)</f>
        <v>11</v>
      </c>
      <c r="C14" s="35">
        <f>COUNTIF(F14:T14,"&gt;0")</f>
        <v>1</v>
      </c>
      <c r="D14" s="37">
        <f>SUM($F15:$T15)</f>
        <v>10</v>
      </c>
      <c r="E14" s="39">
        <f>IF(C14&gt;0,SUM($F14:$T14)/C14,0)</f>
        <v>10</v>
      </c>
      <c r="F14" s="23">
        <v>0</v>
      </c>
      <c r="G14" s="23">
        <v>0</v>
      </c>
      <c r="H14" s="23">
        <v>0</v>
      </c>
      <c r="I14" s="23">
        <v>0</v>
      </c>
      <c r="J14" s="23"/>
      <c r="K14" s="23"/>
      <c r="L14" s="23">
        <v>10</v>
      </c>
      <c r="M14" s="23"/>
      <c r="N14" s="23"/>
      <c r="O14" s="23"/>
      <c r="P14" s="23"/>
      <c r="Q14" s="23"/>
      <c r="R14" s="23"/>
      <c r="S14" s="23"/>
      <c r="T14" s="23"/>
      <c r="V14" s="41">
        <f>-X14+Y14-Z14+AA14</f>
        <v>0</v>
      </c>
      <c r="X14" s="43">
        <f>COUNTIF(F14:T14,"&gt;0")*5</f>
        <v>5</v>
      </c>
      <c r="Y14" s="49"/>
      <c r="Z14" s="43"/>
      <c r="AA14" s="43">
        <v>5</v>
      </c>
      <c r="AC14" s="32">
        <f>V14+AB14</f>
        <v>0</v>
      </c>
    </row>
    <row r="15" spans="1:27" s="30" customFormat="1" ht="4.5" customHeight="1">
      <c r="A15" s="38"/>
      <c r="B15" s="34"/>
      <c r="C15" s="36"/>
      <c r="D15" s="38"/>
      <c r="E15" s="40"/>
      <c r="F15" s="22">
        <f aca="true" t="shared" si="5" ref="F15:T15">IF(RANK(F14,$F14:$T14,0)&lt;=$D$29,F14,0)</f>
        <v>0</v>
      </c>
      <c r="G15" s="22">
        <f t="shared" si="5"/>
        <v>0</v>
      </c>
      <c r="H15" s="22">
        <f t="shared" si="5"/>
        <v>0</v>
      </c>
      <c r="I15" s="22">
        <f t="shared" si="5"/>
        <v>0</v>
      </c>
      <c r="J15" s="22">
        <f t="shared" si="5"/>
        <v>0</v>
      </c>
      <c r="K15" s="22">
        <f t="shared" si="5"/>
        <v>0</v>
      </c>
      <c r="L15" s="22">
        <f t="shared" si="5"/>
        <v>10</v>
      </c>
      <c r="M15" s="22">
        <f t="shared" si="5"/>
        <v>0</v>
      </c>
      <c r="N15" s="22">
        <f t="shared" si="5"/>
        <v>0</v>
      </c>
      <c r="O15" s="22">
        <f t="shared" si="5"/>
        <v>0</v>
      </c>
      <c r="P15" s="22">
        <f t="shared" si="5"/>
        <v>0</v>
      </c>
      <c r="Q15" s="22">
        <f t="shared" si="5"/>
        <v>0</v>
      </c>
      <c r="R15" s="22">
        <f t="shared" si="5"/>
        <v>0</v>
      </c>
      <c r="S15" s="22">
        <f t="shared" si="5"/>
        <v>0</v>
      </c>
      <c r="T15" s="22">
        <f t="shared" si="5"/>
        <v>0</v>
      </c>
      <c r="V15" s="42"/>
      <c r="X15" s="44"/>
      <c r="Y15" s="50"/>
      <c r="Z15" s="44"/>
      <c r="AA15" s="44"/>
    </row>
    <row r="16" spans="1:29" ht="14.25" customHeight="1">
      <c r="A16" s="37" t="s">
        <v>40</v>
      </c>
      <c r="B16" s="33">
        <f>RANK(D16,D$4:D$27,0)</f>
        <v>6</v>
      </c>
      <c r="C16" s="35">
        <f>COUNTIF(F16:T16,"&gt;0")</f>
        <v>10</v>
      </c>
      <c r="D16" s="37">
        <f>SUM($F17:$T17)</f>
        <v>458</v>
      </c>
      <c r="E16" s="39">
        <f>IF(C16&gt;0,SUM($F16:$T16)/C16,0)</f>
        <v>45.8</v>
      </c>
      <c r="F16" s="23">
        <v>0</v>
      </c>
      <c r="G16" s="23">
        <v>0</v>
      </c>
      <c r="H16" s="23">
        <v>0</v>
      </c>
      <c r="I16" s="23">
        <v>0</v>
      </c>
      <c r="J16" s="23">
        <v>25</v>
      </c>
      <c r="K16" s="23">
        <v>10</v>
      </c>
      <c r="L16" s="23">
        <v>16</v>
      </c>
      <c r="M16" s="23">
        <f>107+10</f>
        <v>117</v>
      </c>
      <c r="N16" s="23">
        <v>67</v>
      </c>
      <c r="O16" s="23">
        <v>15</v>
      </c>
      <c r="P16" s="23">
        <v>10</v>
      </c>
      <c r="Q16" s="23">
        <v>28</v>
      </c>
      <c r="R16" s="23">
        <v>16</v>
      </c>
      <c r="S16" s="23">
        <f>144+10</f>
        <v>154</v>
      </c>
      <c r="T16" s="23"/>
      <c r="U16" s="31"/>
      <c r="V16" s="41">
        <f>-X16+Y16-Z16+AA16</f>
        <v>-3.5</v>
      </c>
      <c r="X16" s="43">
        <f>COUNTIF(F16:T16,"&gt;0")*5</f>
        <v>50</v>
      </c>
      <c r="Y16" s="49">
        <f>17.5+5+9+15</f>
        <v>46.5</v>
      </c>
      <c r="Z16" s="43">
        <f>10+5</f>
        <v>15</v>
      </c>
      <c r="AA16" s="43">
        <f>5+10</f>
        <v>15</v>
      </c>
      <c r="AB16" s="20">
        <v>-1.5</v>
      </c>
      <c r="AC16" s="32">
        <f>V16+AB16</f>
        <v>-5</v>
      </c>
    </row>
    <row r="17" spans="1:27" ht="4.5" customHeight="1">
      <c r="A17" s="38"/>
      <c r="B17" s="34"/>
      <c r="C17" s="36"/>
      <c r="D17" s="38"/>
      <c r="E17" s="40"/>
      <c r="F17" s="22">
        <f aca="true" t="shared" si="6" ref="F17:T17">IF(RANK(F16,$F16:$T16,0)&lt;=$D$29,F16,0)</f>
        <v>0</v>
      </c>
      <c r="G17" s="22">
        <f t="shared" si="6"/>
        <v>0</v>
      </c>
      <c r="H17" s="22">
        <f t="shared" si="6"/>
        <v>0</v>
      </c>
      <c r="I17" s="22">
        <f t="shared" si="6"/>
        <v>0</v>
      </c>
      <c r="J17" s="22">
        <f t="shared" si="6"/>
        <v>25</v>
      </c>
      <c r="K17" s="22">
        <f t="shared" si="6"/>
        <v>10</v>
      </c>
      <c r="L17" s="22">
        <f t="shared" si="6"/>
        <v>16</v>
      </c>
      <c r="M17" s="22">
        <f t="shared" si="6"/>
        <v>117</v>
      </c>
      <c r="N17" s="22">
        <f t="shared" si="6"/>
        <v>67</v>
      </c>
      <c r="O17" s="22">
        <f t="shared" si="6"/>
        <v>15</v>
      </c>
      <c r="P17" s="22">
        <f t="shared" si="6"/>
        <v>10</v>
      </c>
      <c r="Q17" s="22">
        <f t="shared" si="6"/>
        <v>28</v>
      </c>
      <c r="R17" s="22">
        <f t="shared" si="6"/>
        <v>16</v>
      </c>
      <c r="S17" s="22">
        <f t="shared" si="6"/>
        <v>154</v>
      </c>
      <c r="T17" s="22">
        <f t="shared" si="6"/>
        <v>0</v>
      </c>
      <c r="V17" s="42"/>
      <c r="X17" s="44"/>
      <c r="Y17" s="50"/>
      <c r="Z17" s="44"/>
      <c r="AA17" s="44"/>
    </row>
    <row r="18" spans="1:29" ht="15" customHeight="1">
      <c r="A18" s="37" t="s">
        <v>37</v>
      </c>
      <c r="B18" s="33">
        <f>RANK(D18,D$4:D$27,0)</f>
        <v>1</v>
      </c>
      <c r="C18" s="35">
        <f>COUNTIF(F18:T18,"&gt;0")</f>
        <v>11</v>
      </c>
      <c r="D18" s="37">
        <f>SUM($F19:$T19)</f>
        <v>579</v>
      </c>
      <c r="E18" s="39">
        <f>IF(C18&gt;0,SUM($F18:$T18)/C18,0)</f>
        <v>52.63636363636363</v>
      </c>
      <c r="F18" s="23">
        <v>0</v>
      </c>
      <c r="G18" s="23">
        <v>0</v>
      </c>
      <c r="H18" s="23">
        <v>0</v>
      </c>
      <c r="I18" s="23">
        <v>0</v>
      </c>
      <c r="J18" s="23">
        <v>16</v>
      </c>
      <c r="K18" s="23">
        <v>17</v>
      </c>
      <c r="L18" s="23">
        <v>60</v>
      </c>
      <c r="M18" s="23">
        <v>10</v>
      </c>
      <c r="N18" s="23">
        <f>107+10</f>
        <v>117</v>
      </c>
      <c r="O18" s="23">
        <v>80</v>
      </c>
      <c r="P18" s="23">
        <v>204</v>
      </c>
      <c r="Q18" s="23">
        <v>10</v>
      </c>
      <c r="R18" s="23">
        <v>39</v>
      </c>
      <c r="S18" s="23">
        <v>16</v>
      </c>
      <c r="T18" s="23">
        <v>10</v>
      </c>
      <c r="U18" s="31"/>
      <c r="V18" s="41">
        <f>-X18+Y18-Z18+AA18</f>
        <v>-13.5</v>
      </c>
      <c r="X18" s="43">
        <f>COUNTIF(F18:T18,"&gt;0")*5</f>
        <v>55</v>
      </c>
      <c r="Y18" s="49">
        <f>22.5+8+15+7</f>
        <v>52.5</v>
      </c>
      <c r="Z18" s="43">
        <f>5+10+5+1+5</f>
        <v>26</v>
      </c>
      <c r="AA18" s="43">
        <v>15</v>
      </c>
      <c r="AB18" s="20">
        <f>7.5+1</f>
        <v>8.5</v>
      </c>
      <c r="AC18" s="32">
        <f>V18+AB18</f>
        <v>-5</v>
      </c>
    </row>
    <row r="19" spans="1:27" ht="4.5" customHeight="1">
      <c r="A19" s="38"/>
      <c r="B19" s="34"/>
      <c r="C19" s="36"/>
      <c r="D19" s="38"/>
      <c r="E19" s="40"/>
      <c r="F19" s="22">
        <f aca="true" t="shared" si="7" ref="F19:T19">IF(RANK(F18,$F18:$T18,0)&lt;=$D$29,F18,0)</f>
        <v>0</v>
      </c>
      <c r="G19" s="22">
        <f t="shared" si="7"/>
        <v>0</v>
      </c>
      <c r="H19" s="22">
        <f t="shared" si="7"/>
        <v>0</v>
      </c>
      <c r="I19" s="22">
        <f t="shared" si="7"/>
        <v>0</v>
      </c>
      <c r="J19" s="22">
        <f t="shared" si="7"/>
        <v>16</v>
      </c>
      <c r="K19" s="22">
        <f t="shared" si="7"/>
        <v>17</v>
      </c>
      <c r="L19" s="22">
        <f t="shared" si="7"/>
        <v>60</v>
      </c>
      <c r="M19" s="22">
        <f t="shared" si="7"/>
        <v>10</v>
      </c>
      <c r="N19" s="22">
        <f t="shared" si="7"/>
        <v>117</v>
      </c>
      <c r="O19" s="22">
        <f t="shared" si="7"/>
        <v>80</v>
      </c>
      <c r="P19" s="22">
        <f t="shared" si="7"/>
        <v>204</v>
      </c>
      <c r="Q19" s="22">
        <f t="shared" si="7"/>
        <v>10</v>
      </c>
      <c r="R19" s="22">
        <f t="shared" si="7"/>
        <v>39</v>
      </c>
      <c r="S19" s="22">
        <f t="shared" si="7"/>
        <v>16</v>
      </c>
      <c r="T19" s="22">
        <f t="shared" si="7"/>
        <v>10</v>
      </c>
      <c r="V19" s="42"/>
      <c r="X19" s="44"/>
      <c r="Y19" s="50"/>
      <c r="Z19" s="44"/>
      <c r="AA19" s="44"/>
    </row>
    <row r="20" spans="1:29" ht="14.25" customHeight="1">
      <c r="A20" s="37" t="s">
        <v>52</v>
      </c>
      <c r="B20" s="33">
        <f>RANK(D20,D$4:D$27,0)</f>
        <v>9</v>
      </c>
      <c r="C20" s="35">
        <f>COUNTIF(F20:T20,"&gt;0")</f>
        <v>1</v>
      </c>
      <c r="D20" s="37">
        <f>SUM($F21:$T21)</f>
        <v>107</v>
      </c>
      <c r="E20" s="39">
        <f>IF(C20&gt;0,SUM($F20:$T20)/C20,0)</f>
        <v>107</v>
      </c>
      <c r="F20" s="23">
        <v>0</v>
      </c>
      <c r="G20" s="23">
        <v>0</v>
      </c>
      <c r="H20" s="23">
        <v>0</v>
      </c>
      <c r="I20" s="23">
        <v>0</v>
      </c>
      <c r="J20" s="23"/>
      <c r="K20" s="23"/>
      <c r="L20" s="23"/>
      <c r="M20" s="23"/>
      <c r="N20" s="23"/>
      <c r="O20" s="23"/>
      <c r="P20" s="23">
        <f>97+10</f>
        <v>107</v>
      </c>
      <c r="Q20" s="23"/>
      <c r="R20" s="23"/>
      <c r="S20" s="23"/>
      <c r="T20" s="23"/>
      <c r="V20" s="41">
        <f>-X20+Y20-Z20+AA20</f>
        <v>0</v>
      </c>
      <c r="X20" s="43">
        <f>COUNTIF(F20:T20,"&gt;0")*5</f>
        <v>5</v>
      </c>
      <c r="Y20" s="49"/>
      <c r="Z20" s="43"/>
      <c r="AA20" s="43">
        <f>5</f>
        <v>5</v>
      </c>
      <c r="AC20" s="32">
        <f>V20+AB20</f>
        <v>0</v>
      </c>
    </row>
    <row r="21" spans="1:27" ht="4.5" customHeight="1">
      <c r="A21" s="38"/>
      <c r="B21" s="34"/>
      <c r="C21" s="36"/>
      <c r="D21" s="38"/>
      <c r="E21" s="40"/>
      <c r="F21" s="22">
        <f aca="true" t="shared" si="8" ref="F21:T21">IF(RANK(F20,$F20:$T20,0)&lt;=$D$29,F20,0)</f>
        <v>0</v>
      </c>
      <c r="G21" s="22">
        <f t="shared" si="8"/>
        <v>0</v>
      </c>
      <c r="H21" s="22">
        <f t="shared" si="8"/>
        <v>0</v>
      </c>
      <c r="I21" s="22">
        <f t="shared" si="8"/>
        <v>0</v>
      </c>
      <c r="J21" s="22">
        <f t="shared" si="8"/>
        <v>0</v>
      </c>
      <c r="K21" s="22">
        <f t="shared" si="8"/>
        <v>0</v>
      </c>
      <c r="L21" s="22">
        <f t="shared" si="8"/>
        <v>0</v>
      </c>
      <c r="M21" s="22">
        <f t="shared" si="8"/>
        <v>0</v>
      </c>
      <c r="N21" s="22">
        <f t="shared" si="8"/>
        <v>0</v>
      </c>
      <c r="O21" s="22">
        <f t="shared" si="8"/>
        <v>0</v>
      </c>
      <c r="P21" s="22">
        <f t="shared" si="8"/>
        <v>107</v>
      </c>
      <c r="Q21" s="22">
        <f t="shared" si="8"/>
        <v>0</v>
      </c>
      <c r="R21" s="22">
        <f t="shared" si="8"/>
        <v>0</v>
      </c>
      <c r="S21" s="22">
        <f t="shared" si="8"/>
        <v>0</v>
      </c>
      <c r="T21" s="22">
        <f t="shared" si="8"/>
        <v>0</v>
      </c>
      <c r="V21" s="42"/>
      <c r="X21" s="44"/>
      <c r="Y21" s="50"/>
      <c r="Z21" s="44"/>
      <c r="AA21" s="44"/>
    </row>
    <row r="22" spans="1:29" ht="14.25" customHeight="1">
      <c r="A22" s="37" t="s">
        <v>46</v>
      </c>
      <c r="B22" s="33">
        <f>RANK(D22,D$4:D$27,0)</f>
        <v>10</v>
      </c>
      <c r="C22" s="35">
        <f>COUNTIF(F22:T22,"&gt;0")</f>
        <v>2</v>
      </c>
      <c r="D22" s="37">
        <f>SUM($F23:$T23)</f>
        <v>32</v>
      </c>
      <c r="E22" s="39">
        <f>IF(C22&gt;0,SUM($F22:$T22)/C22,0)</f>
        <v>16</v>
      </c>
      <c r="F22" s="23">
        <v>0</v>
      </c>
      <c r="G22" s="23">
        <v>0</v>
      </c>
      <c r="H22" s="23">
        <v>0</v>
      </c>
      <c r="I22" s="23">
        <v>0</v>
      </c>
      <c r="J22" s="23"/>
      <c r="K22" s="23"/>
      <c r="L22" s="23"/>
      <c r="M22" s="23"/>
      <c r="N22" s="23"/>
      <c r="O22" s="23"/>
      <c r="P22" s="23">
        <v>22</v>
      </c>
      <c r="Q22" s="23"/>
      <c r="R22" s="23"/>
      <c r="S22" s="23">
        <v>10</v>
      </c>
      <c r="T22" s="23"/>
      <c r="V22" s="41">
        <f>-X22+Y22-Z22+AA22</f>
        <v>0</v>
      </c>
      <c r="X22" s="43">
        <f>COUNTIF(F22:T22,"&gt;0")*5</f>
        <v>10</v>
      </c>
      <c r="Y22" s="49"/>
      <c r="Z22" s="43"/>
      <c r="AA22" s="43">
        <f>5+5</f>
        <v>10</v>
      </c>
      <c r="AC22" s="32">
        <f>V22+AB22</f>
        <v>0</v>
      </c>
    </row>
    <row r="23" spans="1:27" ht="4.5" customHeight="1">
      <c r="A23" s="38"/>
      <c r="B23" s="34"/>
      <c r="C23" s="36"/>
      <c r="D23" s="38"/>
      <c r="E23" s="40"/>
      <c r="F23" s="22">
        <f aca="true" t="shared" si="9" ref="F23:T23">IF(RANK(F22,$F22:$T22,0)&lt;=$D$29,F22,0)</f>
        <v>0</v>
      </c>
      <c r="G23" s="22">
        <f t="shared" si="9"/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22">
        <f t="shared" si="9"/>
        <v>22</v>
      </c>
      <c r="Q23" s="22">
        <f t="shared" si="9"/>
        <v>0</v>
      </c>
      <c r="R23" s="22">
        <f t="shared" si="9"/>
        <v>0</v>
      </c>
      <c r="S23" s="22">
        <f t="shared" si="9"/>
        <v>10</v>
      </c>
      <c r="T23" s="22">
        <f t="shared" si="9"/>
        <v>0</v>
      </c>
      <c r="V23" s="42"/>
      <c r="X23" s="44"/>
      <c r="Y23" s="50"/>
      <c r="Z23" s="44"/>
      <c r="AA23" s="44"/>
    </row>
    <row r="24" spans="1:29" ht="14.25" customHeight="1">
      <c r="A24" s="37" t="s">
        <v>39</v>
      </c>
      <c r="B24" s="33">
        <f>RANK(D24,D$4:D$27,0)</f>
        <v>5</v>
      </c>
      <c r="C24" s="35">
        <f>COUNTIF(F24:T24,"&gt;0")</f>
        <v>7</v>
      </c>
      <c r="D24" s="37">
        <f>SUM($F25:$T25)</f>
        <v>479</v>
      </c>
      <c r="E24" s="39">
        <f>IF(C24&gt;0,SUM($F24:$T24)/C24,0)</f>
        <v>68.42857142857143</v>
      </c>
      <c r="F24" s="23">
        <v>0</v>
      </c>
      <c r="G24" s="23">
        <v>0</v>
      </c>
      <c r="H24" s="23">
        <v>0</v>
      </c>
      <c r="I24" s="23">
        <v>0</v>
      </c>
      <c r="J24" s="23">
        <v>39</v>
      </c>
      <c r="K24" s="23"/>
      <c r="L24" s="23"/>
      <c r="M24" s="23"/>
      <c r="N24" s="23"/>
      <c r="O24" s="23">
        <v>120</v>
      </c>
      <c r="P24" s="23">
        <f>67+10</f>
        <v>77</v>
      </c>
      <c r="Q24" s="23">
        <v>76</v>
      </c>
      <c r="R24" s="23">
        <v>25</v>
      </c>
      <c r="S24" s="23">
        <v>93</v>
      </c>
      <c r="T24" s="23">
        <v>49</v>
      </c>
      <c r="U24" s="31"/>
      <c r="V24" s="41">
        <f>-X24+Y24-Z24+AA24</f>
        <v>0</v>
      </c>
      <c r="X24" s="43">
        <f>COUNTIF(F24:T24,"&gt;0")*5</f>
        <v>35</v>
      </c>
      <c r="Y24" s="49">
        <f>10+10.5+12.5+12</f>
        <v>45</v>
      </c>
      <c r="Z24" s="43">
        <f>5+5+5</f>
        <v>15</v>
      </c>
      <c r="AA24" s="43">
        <f>5</f>
        <v>5</v>
      </c>
      <c r="AB24" s="20">
        <v>-5</v>
      </c>
      <c r="AC24" s="32">
        <f>V24+AB24</f>
        <v>-5</v>
      </c>
    </row>
    <row r="25" spans="1:27" ht="4.5" customHeight="1">
      <c r="A25" s="38"/>
      <c r="B25" s="34"/>
      <c r="C25" s="36"/>
      <c r="D25" s="38"/>
      <c r="E25" s="40"/>
      <c r="F25" s="22">
        <f aca="true" t="shared" si="10" ref="F25:T25">IF(RANK(F24,$F24:$T24,0)&lt;=$D$29,F24,0)</f>
        <v>0</v>
      </c>
      <c r="G25" s="22">
        <f t="shared" si="10"/>
        <v>0</v>
      </c>
      <c r="H25" s="22">
        <f t="shared" si="10"/>
        <v>0</v>
      </c>
      <c r="I25" s="22">
        <f t="shared" si="10"/>
        <v>0</v>
      </c>
      <c r="J25" s="22">
        <f t="shared" si="10"/>
        <v>39</v>
      </c>
      <c r="K25" s="22">
        <f t="shared" si="10"/>
        <v>0</v>
      </c>
      <c r="L25" s="22">
        <f t="shared" si="10"/>
        <v>0</v>
      </c>
      <c r="M25" s="22">
        <f t="shared" si="10"/>
        <v>0</v>
      </c>
      <c r="N25" s="22">
        <f t="shared" si="10"/>
        <v>0</v>
      </c>
      <c r="O25" s="22">
        <f t="shared" si="10"/>
        <v>120</v>
      </c>
      <c r="P25" s="22">
        <f t="shared" si="10"/>
        <v>77</v>
      </c>
      <c r="Q25" s="22">
        <f t="shared" si="10"/>
        <v>76</v>
      </c>
      <c r="R25" s="22">
        <f t="shared" si="10"/>
        <v>25</v>
      </c>
      <c r="S25" s="22">
        <f t="shared" si="10"/>
        <v>93</v>
      </c>
      <c r="T25" s="22">
        <f t="shared" si="10"/>
        <v>49</v>
      </c>
      <c r="V25" s="42"/>
      <c r="X25" s="44"/>
      <c r="Y25" s="50"/>
      <c r="Z25" s="44"/>
      <c r="AA25" s="44"/>
    </row>
    <row r="26" spans="1:29" ht="14.25" customHeight="1">
      <c r="A26" s="37" t="s">
        <v>38</v>
      </c>
      <c r="B26" s="33">
        <f>RANK(D26,D$4:D$27,0)</f>
        <v>4</v>
      </c>
      <c r="C26" s="35">
        <f>COUNTIF(F26:T26,"&gt;0")</f>
        <v>10</v>
      </c>
      <c r="D26" s="37">
        <f>SUM($F27:$T27)</f>
        <v>522</v>
      </c>
      <c r="E26" s="39">
        <f>IF(C26&gt;0,SUM($F26:$T26)/C26,0)</f>
        <v>52.2</v>
      </c>
      <c r="F26" s="23">
        <v>0</v>
      </c>
      <c r="G26" s="23">
        <v>0</v>
      </c>
      <c r="H26" s="23">
        <v>0</v>
      </c>
      <c r="I26" s="23">
        <v>0</v>
      </c>
      <c r="J26" s="23">
        <v>10</v>
      </c>
      <c r="K26" s="23">
        <v>46</v>
      </c>
      <c r="L26" s="23">
        <v>39</v>
      </c>
      <c r="M26" s="23">
        <v>16</v>
      </c>
      <c r="N26" s="23">
        <v>10</v>
      </c>
      <c r="O26" s="23">
        <f>180+10</f>
        <v>190</v>
      </c>
      <c r="P26" s="23">
        <v>15</v>
      </c>
      <c r="Q26" s="23"/>
      <c r="R26" s="23">
        <f>144+10</f>
        <v>154</v>
      </c>
      <c r="S26" s="23">
        <v>25</v>
      </c>
      <c r="T26" s="23">
        <v>17</v>
      </c>
      <c r="V26" s="41">
        <f>-X26+Y26-Z26+AA26</f>
        <v>-7</v>
      </c>
      <c r="X26" s="43">
        <f>COUNTIF(F26:T26,"&gt;0")*5</f>
        <v>50</v>
      </c>
      <c r="Y26" s="49">
        <f>4+17.5+20+7.5</f>
        <v>49</v>
      </c>
      <c r="Z26" s="43">
        <f>10+10+6</f>
        <v>26</v>
      </c>
      <c r="AA26" s="43">
        <f>5+10+5</f>
        <v>20</v>
      </c>
      <c r="AB26" s="20">
        <f>1.5+0.5</f>
        <v>2</v>
      </c>
      <c r="AC26" s="32">
        <f>V26+AB26</f>
        <v>-5</v>
      </c>
    </row>
    <row r="27" spans="1:27" ht="4.5" customHeight="1">
      <c r="A27" s="38"/>
      <c r="B27" s="34"/>
      <c r="C27" s="36"/>
      <c r="D27" s="38"/>
      <c r="E27" s="40"/>
      <c r="F27" s="22">
        <f aca="true" t="shared" si="11" ref="F27:T27">IF(RANK(F26,$F26:$T26,0)&lt;=$D$29,F26,0)</f>
        <v>0</v>
      </c>
      <c r="G27" s="22">
        <f t="shared" si="11"/>
        <v>0</v>
      </c>
      <c r="H27" s="22">
        <f t="shared" si="11"/>
        <v>0</v>
      </c>
      <c r="I27" s="22">
        <f t="shared" si="11"/>
        <v>0</v>
      </c>
      <c r="J27" s="22">
        <f t="shared" si="11"/>
        <v>10</v>
      </c>
      <c r="K27" s="22">
        <f t="shared" si="11"/>
        <v>46</v>
      </c>
      <c r="L27" s="22">
        <f t="shared" si="11"/>
        <v>39</v>
      </c>
      <c r="M27" s="22">
        <f t="shared" si="11"/>
        <v>16</v>
      </c>
      <c r="N27" s="22">
        <f t="shared" si="11"/>
        <v>10</v>
      </c>
      <c r="O27" s="22">
        <f t="shared" si="11"/>
        <v>190</v>
      </c>
      <c r="P27" s="22">
        <f t="shared" si="11"/>
        <v>15</v>
      </c>
      <c r="Q27" s="22">
        <f t="shared" si="11"/>
        <v>0</v>
      </c>
      <c r="R27" s="22">
        <f t="shared" si="11"/>
        <v>154</v>
      </c>
      <c r="S27" s="22">
        <f t="shared" si="11"/>
        <v>25</v>
      </c>
      <c r="T27" s="22">
        <f t="shared" si="11"/>
        <v>17</v>
      </c>
      <c r="V27" s="42"/>
      <c r="X27" s="44"/>
      <c r="Y27" s="50"/>
      <c r="Z27" s="44"/>
      <c r="AA27" s="44"/>
    </row>
    <row r="28" spans="6:20" ht="15">
      <c r="F28" s="21">
        <f>COUNTA(F4,F6,F8,F10,F12,F14,F16,F18,F20,F22,F24,F26)</f>
        <v>12</v>
      </c>
      <c r="G28" s="21">
        <f aca="true" t="shared" si="12" ref="G28:T28">COUNTA(G4,G6,G8,G10,G12,G14,G16,G18,G20,G22,G24,G26)</f>
        <v>12</v>
      </c>
      <c r="H28" s="21">
        <f t="shared" si="12"/>
        <v>12</v>
      </c>
      <c r="I28" s="21">
        <f t="shared" si="12"/>
        <v>12</v>
      </c>
      <c r="J28" s="21">
        <f t="shared" si="12"/>
        <v>7</v>
      </c>
      <c r="K28" s="21">
        <f t="shared" si="12"/>
        <v>5</v>
      </c>
      <c r="L28" s="21">
        <f t="shared" si="12"/>
        <v>7</v>
      </c>
      <c r="M28" s="21">
        <f t="shared" si="12"/>
        <v>6</v>
      </c>
      <c r="N28" s="21">
        <f t="shared" si="12"/>
        <v>6</v>
      </c>
      <c r="O28" s="21">
        <f t="shared" si="12"/>
        <v>8</v>
      </c>
      <c r="P28" s="21">
        <f t="shared" si="12"/>
        <v>9</v>
      </c>
      <c r="Q28" s="21">
        <f t="shared" si="12"/>
        <v>5</v>
      </c>
      <c r="R28" s="21">
        <f t="shared" si="12"/>
        <v>7</v>
      </c>
      <c r="S28" s="21">
        <f t="shared" si="12"/>
        <v>7</v>
      </c>
      <c r="T28" s="21">
        <f t="shared" si="12"/>
        <v>4</v>
      </c>
    </row>
    <row r="29" spans="1:27" ht="15">
      <c r="A29" s="51" t="s">
        <v>33</v>
      </c>
      <c r="B29" s="51"/>
      <c r="C29" s="52"/>
      <c r="D29" s="20">
        <v>10</v>
      </c>
      <c r="V29" s="21">
        <f>SUM(V4:V28)</f>
        <v>-35</v>
      </c>
      <c r="W29" s="21"/>
      <c r="X29" s="21">
        <f>SUM(X4:X28)</f>
        <v>355</v>
      </c>
      <c r="Y29" s="21">
        <f>SUM(Y4:Y28)</f>
        <v>320</v>
      </c>
      <c r="Z29" s="21">
        <f>SUM(Z4:Z28)</f>
        <v>112.5</v>
      </c>
      <c r="AA29" s="21">
        <f>SUM(AA4:AA28)</f>
        <v>112.5</v>
      </c>
    </row>
    <row r="31" ht="15">
      <c r="V31" s="27"/>
    </row>
    <row r="32" ht="15">
      <c r="V32" s="27"/>
    </row>
    <row r="33" spans="22:25" ht="15">
      <c r="V33" s="29" t="s">
        <v>56</v>
      </c>
      <c r="X33" s="28" t="s">
        <v>55</v>
      </c>
      <c r="Y33" s="28" t="s">
        <v>57</v>
      </c>
    </row>
    <row r="34" spans="22:25" ht="15">
      <c r="V34" s="20">
        <v>25</v>
      </c>
      <c r="X34" s="27">
        <v>0.5</v>
      </c>
      <c r="Y34" s="20">
        <f>V$34*X34</f>
        <v>12.5</v>
      </c>
    </row>
    <row r="35" spans="24:25" ht="15">
      <c r="X35" s="27">
        <v>0.3</v>
      </c>
      <c r="Y35" s="20">
        <f>V$34*X35</f>
        <v>7.5</v>
      </c>
    </row>
    <row r="36" spans="24:25" ht="15">
      <c r="X36" s="27">
        <v>0.2</v>
      </c>
      <c r="Y36" s="20">
        <f>V$34*X36</f>
        <v>5</v>
      </c>
    </row>
  </sheetData>
  <sheetProtection/>
  <mergeCells count="131">
    <mergeCell ref="E24:E25"/>
    <mergeCell ref="A26:A27"/>
    <mergeCell ref="C22:C23"/>
    <mergeCell ref="C24:C25"/>
    <mergeCell ref="C26:C27"/>
    <mergeCell ref="A29:C29"/>
    <mergeCell ref="A24:A25"/>
    <mergeCell ref="B24:B25"/>
    <mergeCell ref="B26:B27"/>
    <mergeCell ref="E26:E27"/>
    <mergeCell ref="Z20:Z21"/>
    <mergeCell ref="AA20:AA21"/>
    <mergeCell ref="C1:C2"/>
    <mergeCell ref="C4:C5"/>
    <mergeCell ref="C6:C7"/>
    <mergeCell ref="C8:C9"/>
    <mergeCell ref="C10:C11"/>
    <mergeCell ref="C12:C13"/>
    <mergeCell ref="AA4:AA5"/>
    <mergeCell ref="C20:C21"/>
    <mergeCell ref="AA22:AA23"/>
    <mergeCell ref="AA24:AA25"/>
    <mergeCell ref="AA26:AA27"/>
    <mergeCell ref="Z22:Z23"/>
    <mergeCell ref="Z24:Z25"/>
    <mergeCell ref="Z26:Z27"/>
    <mergeCell ref="AA10:AA11"/>
    <mergeCell ref="AA12:AA13"/>
    <mergeCell ref="AA18:AA19"/>
    <mergeCell ref="AA16:AA17"/>
    <mergeCell ref="Z6:Z7"/>
    <mergeCell ref="Z8:Z9"/>
    <mergeCell ref="AA6:AA7"/>
    <mergeCell ref="AA8:AA9"/>
    <mergeCell ref="Z14:Z15"/>
    <mergeCell ref="AA14:AA15"/>
    <mergeCell ref="X24:X25"/>
    <mergeCell ref="X26:X27"/>
    <mergeCell ref="Y4:Y5"/>
    <mergeCell ref="Y6:Y7"/>
    <mergeCell ref="Y8:Y9"/>
    <mergeCell ref="Y20:Y21"/>
    <mergeCell ref="X20:X21"/>
    <mergeCell ref="X10:X11"/>
    <mergeCell ref="X12:X13"/>
    <mergeCell ref="Y14:Y15"/>
    <mergeCell ref="AA1:AA2"/>
    <mergeCell ref="Y22:Y23"/>
    <mergeCell ref="Y24:Y25"/>
    <mergeCell ref="Y26:Y27"/>
    <mergeCell ref="Z10:Z11"/>
    <mergeCell ref="Z12:Z13"/>
    <mergeCell ref="Z16:Z17"/>
    <mergeCell ref="Z18:Z19"/>
    <mergeCell ref="Z1:Z2"/>
    <mergeCell ref="Z4:Z5"/>
    <mergeCell ref="A22:A23"/>
    <mergeCell ref="B22:B23"/>
    <mergeCell ref="E22:E23"/>
    <mergeCell ref="A18:A19"/>
    <mergeCell ref="B18:B19"/>
    <mergeCell ref="Y10:Y11"/>
    <mergeCell ref="Y12:Y13"/>
    <mergeCell ref="X22:X23"/>
    <mergeCell ref="Y18:Y19"/>
    <mergeCell ref="Y16:Y17"/>
    <mergeCell ref="X1:X2"/>
    <mergeCell ref="X4:X5"/>
    <mergeCell ref="X6:X7"/>
    <mergeCell ref="X8:X9"/>
    <mergeCell ref="X16:X17"/>
    <mergeCell ref="X18:X19"/>
    <mergeCell ref="Y1:Y2"/>
    <mergeCell ref="E18:E19"/>
    <mergeCell ref="A20:A21"/>
    <mergeCell ref="B20:B21"/>
    <mergeCell ref="E20:E21"/>
    <mergeCell ref="C18:C19"/>
    <mergeCell ref="D18:D19"/>
    <mergeCell ref="D20:D21"/>
    <mergeCell ref="B12:B13"/>
    <mergeCell ref="B10:B11"/>
    <mergeCell ref="E16:E17"/>
    <mergeCell ref="A12:A13"/>
    <mergeCell ref="E12:E13"/>
    <mergeCell ref="C16:C17"/>
    <mergeCell ref="A10:A11"/>
    <mergeCell ref="E10:E11"/>
    <mergeCell ref="A16:A17"/>
    <mergeCell ref="B16:B17"/>
    <mergeCell ref="D16:D17"/>
    <mergeCell ref="A14:A15"/>
    <mergeCell ref="B1:B2"/>
    <mergeCell ref="B4:B5"/>
    <mergeCell ref="V10:V11"/>
    <mergeCell ref="A1:A2"/>
    <mergeCell ref="A8:A9"/>
    <mergeCell ref="B8:B9"/>
    <mergeCell ref="A6:A7"/>
    <mergeCell ref="B6:B7"/>
    <mergeCell ref="A4:A5"/>
    <mergeCell ref="E6:E7"/>
    <mergeCell ref="E8:E9"/>
    <mergeCell ref="V1:V2"/>
    <mergeCell ref="V4:V5"/>
    <mergeCell ref="V6:V7"/>
    <mergeCell ref="V8:V9"/>
    <mergeCell ref="E1:E2"/>
    <mergeCell ref="E4:E5"/>
    <mergeCell ref="V12:V13"/>
    <mergeCell ref="V16:V17"/>
    <mergeCell ref="V18:V19"/>
    <mergeCell ref="V24:V25"/>
    <mergeCell ref="V22:V23"/>
    <mergeCell ref="V26:V27"/>
    <mergeCell ref="V20:V21"/>
    <mergeCell ref="D22:D23"/>
    <mergeCell ref="D24:D25"/>
    <mergeCell ref="D26:D27"/>
    <mergeCell ref="D1:D2"/>
    <mergeCell ref="D4:D5"/>
    <mergeCell ref="D6:D7"/>
    <mergeCell ref="D8:D9"/>
    <mergeCell ref="D10:D11"/>
    <mergeCell ref="D12:D13"/>
    <mergeCell ref="B14:B15"/>
    <mergeCell ref="C14:C15"/>
    <mergeCell ref="D14:D15"/>
    <mergeCell ref="E14:E15"/>
    <mergeCell ref="V14:V15"/>
    <mergeCell ref="X14:X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2">
      <selection activeCell="H8" sqref="B8:H8"/>
    </sheetView>
  </sheetViews>
  <sheetFormatPr defaultColWidth="11.00390625" defaultRowHeight="15"/>
  <sheetData>
    <row r="1" spans="1:12" ht="15">
      <c r="A1" s="53" t="s">
        <v>10</v>
      </c>
      <c r="B1" s="59" t="s">
        <v>8</v>
      </c>
      <c r="C1" s="60"/>
      <c r="D1" s="60"/>
      <c r="E1" s="60"/>
      <c r="F1" s="60"/>
      <c r="G1" s="60"/>
      <c r="H1" s="60"/>
      <c r="I1" s="60"/>
      <c r="J1" s="60"/>
      <c r="K1" s="60"/>
      <c r="L1" s="53" t="s">
        <v>11</v>
      </c>
    </row>
    <row r="2" spans="1:12" ht="15">
      <c r="A2" s="53"/>
      <c r="B2" s="59" t="s">
        <v>9</v>
      </c>
      <c r="C2" s="60"/>
      <c r="D2" s="60"/>
      <c r="E2" s="60"/>
      <c r="F2" s="60"/>
      <c r="G2" s="60"/>
      <c r="H2" s="60"/>
      <c r="I2" s="60"/>
      <c r="J2" s="60"/>
      <c r="K2" s="60"/>
      <c r="L2" s="53"/>
    </row>
    <row r="3" spans="1:12" ht="15">
      <c r="A3" s="53"/>
      <c r="B3" s="2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53"/>
    </row>
    <row r="4" spans="1:12" ht="15">
      <c r="A4" s="15" t="s">
        <v>0</v>
      </c>
      <c r="B4" s="3">
        <v>10</v>
      </c>
      <c r="C4" s="4">
        <f aca="true" t="shared" si="0" ref="C4:C11">ROUND(B4*(1+$L4),0)</f>
        <v>18</v>
      </c>
      <c r="D4" s="4">
        <f aca="true" t="shared" si="1" ref="D4:K11">ROUND(C4*(1+$L4),0)</f>
        <v>32</v>
      </c>
      <c r="E4" s="4"/>
      <c r="F4" s="4"/>
      <c r="G4" s="4"/>
      <c r="H4" s="4"/>
      <c r="I4" s="4"/>
      <c r="J4" s="4"/>
      <c r="K4" s="5"/>
      <c r="L4" s="12">
        <v>0.75</v>
      </c>
    </row>
    <row r="5" spans="1:12" ht="15">
      <c r="A5" s="16" t="s">
        <v>1</v>
      </c>
      <c r="B5" s="6">
        <v>10</v>
      </c>
      <c r="C5" s="7">
        <f t="shared" si="0"/>
        <v>17</v>
      </c>
      <c r="D5" s="7">
        <f t="shared" si="1"/>
        <v>29</v>
      </c>
      <c r="E5" s="7">
        <f t="shared" si="1"/>
        <v>49</v>
      </c>
      <c r="F5" s="7"/>
      <c r="G5" s="7"/>
      <c r="H5" s="7"/>
      <c r="I5" s="7"/>
      <c r="J5" s="7"/>
      <c r="K5" s="8"/>
      <c r="L5" s="13">
        <v>0.7</v>
      </c>
    </row>
    <row r="6" spans="1:12" ht="15">
      <c r="A6" s="16" t="s">
        <v>2</v>
      </c>
      <c r="B6" s="6">
        <v>10</v>
      </c>
      <c r="C6" s="7">
        <f t="shared" si="0"/>
        <v>17</v>
      </c>
      <c r="D6" s="7">
        <f t="shared" si="1"/>
        <v>28</v>
      </c>
      <c r="E6" s="7">
        <f t="shared" si="1"/>
        <v>46</v>
      </c>
      <c r="F6" s="7">
        <f t="shared" si="1"/>
        <v>76</v>
      </c>
      <c r="G6" s="7"/>
      <c r="H6" s="7"/>
      <c r="I6" s="7"/>
      <c r="J6" s="7"/>
      <c r="K6" s="8"/>
      <c r="L6" s="13">
        <v>0.65</v>
      </c>
    </row>
    <row r="7" spans="1:12" ht="15">
      <c r="A7" s="16" t="s">
        <v>3</v>
      </c>
      <c r="B7" s="6">
        <v>10</v>
      </c>
      <c r="C7" s="7">
        <f t="shared" si="0"/>
        <v>16</v>
      </c>
      <c r="D7" s="7">
        <f t="shared" si="1"/>
        <v>26</v>
      </c>
      <c r="E7" s="7">
        <f t="shared" si="1"/>
        <v>42</v>
      </c>
      <c r="F7" s="7">
        <f t="shared" si="1"/>
        <v>67</v>
      </c>
      <c r="G7" s="7">
        <f t="shared" si="1"/>
        <v>107</v>
      </c>
      <c r="H7" s="7"/>
      <c r="I7" s="7"/>
      <c r="J7" s="7"/>
      <c r="K7" s="8"/>
      <c r="L7" s="13">
        <v>0.6</v>
      </c>
    </row>
    <row r="8" spans="1:12" ht="15">
      <c r="A8" s="16" t="s">
        <v>4</v>
      </c>
      <c r="B8" s="6">
        <v>10</v>
      </c>
      <c r="C8" s="7">
        <f t="shared" si="0"/>
        <v>16</v>
      </c>
      <c r="D8" s="7">
        <f t="shared" si="1"/>
        <v>25</v>
      </c>
      <c r="E8" s="7">
        <f t="shared" si="1"/>
        <v>39</v>
      </c>
      <c r="F8" s="7">
        <f t="shared" si="1"/>
        <v>60</v>
      </c>
      <c r="G8" s="7">
        <f t="shared" si="1"/>
        <v>93</v>
      </c>
      <c r="H8" s="7">
        <f t="shared" si="1"/>
        <v>144</v>
      </c>
      <c r="I8" s="7"/>
      <c r="J8" s="7"/>
      <c r="K8" s="8"/>
      <c r="L8" s="13">
        <v>0.55</v>
      </c>
    </row>
    <row r="9" spans="1:12" ht="15">
      <c r="A9" s="16" t="s">
        <v>5</v>
      </c>
      <c r="B9" s="6">
        <v>10</v>
      </c>
      <c r="C9" s="7">
        <f t="shared" si="0"/>
        <v>15</v>
      </c>
      <c r="D9" s="7">
        <f t="shared" si="1"/>
        <v>23</v>
      </c>
      <c r="E9" s="7">
        <f t="shared" si="1"/>
        <v>35</v>
      </c>
      <c r="F9" s="7">
        <f t="shared" si="1"/>
        <v>53</v>
      </c>
      <c r="G9" s="7">
        <f t="shared" si="1"/>
        <v>80</v>
      </c>
      <c r="H9" s="7">
        <f t="shared" si="1"/>
        <v>120</v>
      </c>
      <c r="I9" s="7">
        <f t="shared" si="1"/>
        <v>180</v>
      </c>
      <c r="J9" s="7"/>
      <c r="K9" s="8"/>
      <c r="L9" s="13">
        <v>0.5</v>
      </c>
    </row>
    <row r="10" spans="1:12" ht="15">
      <c r="A10" s="16" t="s">
        <v>6</v>
      </c>
      <c r="B10" s="6">
        <v>10</v>
      </c>
      <c r="C10" s="7">
        <f t="shared" si="0"/>
        <v>15</v>
      </c>
      <c r="D10" s="7">
        <f t="shared" si="1"/>
        <v>22</v>
      </c>
      <c r="E10" s="7">
        <f t="shared" si="1"/>
        <v>32</v>
      </c>
      <c r="F10" s="7">
        <f t="shared" si="1"/>
        <v>46</v>
      </c>
      <c r="G10" s="7">
        <f t="shared" si="1"/>
        <v>67</v>
      </c>
      <c r="H10" s="7">
        <f t="shared" si="1"/>
        <v>97</v>
      </c>
      <c r="I10" s="7">
        <f t="shared" si="1"/>
        <v>141</v>
      </c>
      <c r="J10" s="7">
        <f t="shared" si="1"/>
        <v>204</v>
      </c>
      <c r="K10" s="8"/>
      <c r="L10" s="13">
        <v>0.45</v>
      </c>
    </row>
    <row r="11" spans="1:12" ht="15">
      <c r="A11" s="17" t="s">
        <v>7</v>
      </c>
      <c r="B11" s="9">
        <v>10</v>
      </c>
      <c r="C11" s="10">
        <f t="shared" si="0"/>
        <v>14</v>
      </c>
      <c r="D11" s="10">
        <f t="shared" si="1"/>
        <v>20</v>
      </c>
      <c r="E11" s="10">
        <f t="shared" si="1"/>
        <v>28</v>
      </c>
      <c r="F11" s="10">
        <f t="shared" si="1"/>
        <v>39</v>
      </c>
      <c r="G11" s="10">
        <f t="shared" si="1"/>
        <v>55</v>
      </c>
      <c r="H11" s="10">
        <f t="shared" si="1"/>
        <v>77</v>
      </c>
      <c r="I11" s="10">
        <f t="shared" si="1"/>
        <v>108</v>
      </c>
      <c r="J11" s="10">
        <f t="shared" si="1"/>
        <v>151</v>
      </c>
      <c r="K11" s="11">
        <f t="shared" si="1"/>
        <v>211</v>
      </c>
      <c r="L11" s="14">
        <v>0.4</v>
      </c>
    </row>
    <row r="13" ht="15">
      <c r="A13" t="s">
        <v>12</v>
      </c>
    </row>
    <row r="14" spans="2:6" ht="15">
      <c r="B14" s="19" t="s">
        <v>16</v>
      </c>
      <c r="C14" s="18"/>
      <c r="D14" s="18"/>
      <c r="E14" s="18"/>
      <c r="F14" s="18"/>
    </row>
    <row r="15" spans="2:6" ht="15">
      <c r="B15" s="54" t="s">
        <v>13</v>
      </c>
      <c r="C15" s="55"/>
      <c r="D15" s="55"/>
      <c r="E15" s="55"/>
      <c r="F15" s="55"/>
    </row>
    <row r="16" spans="2:6" ht="15">
      <c r="B16" s="55"/>
      <c r="C16" s="55"/>
      <c r="D16" s="55"/>
      <c r="E16" s="55"/>
      <c r="F16" s="55"/>
    </row>
    <row r="17" spans="2:6" ht="15">
      <c r="B17" s="56"/>
      <c r="C17" s="56"/>
      <c r="D17" s="56"/>
      <c r="E17" s="56"/>
      <c r="F17" s="56"/>
    </row>
    <row r="18" spans="2:6" ht="15">
      <c r="B18" s="54" t="s">
        <v>14</v>
      </c>
      <c r="C18" s="55"/>
      <c r="D18" s="55"/>
      <c r="E18" s="55"/>
      <c r="F18" s="55"/>
    </row>
    <row r="19" spans="2:6" ht="15">
      <c r="B19" s="55"/>
      <c r="C19" s="55"/>
      <c r="D19" s="55"/>
      <c r="E19" s="55"/>
      <c r="F19" s="55"/>
    </row>
    <row r="20" spans="2:6" ht="15">
      <c r="B20" s="55"/>
      <c r="C20" s="55"/>
      <c r="D20" s="55"/>
      <c r="E20" s="55"/>
      <c r="F20" s="55"/>
    </row>
    <row r="21" spans="2:6" ht="15">
      <c r="B21" s="54" t="s">
        <v>15</v>
      </c>
      <c r="C21" s="55"/>
      <c r="D21" s="55"/>
      <c r="E21" s="55"/>
      <c r="F21" s="55"/>
    </row>
    <row r="22" spans="2:6" ht="15">
      <c r="B22" s="55"/>
      <c r="C22" s="55"/>
      <c r="D22" s="55"/>
      <c r="E22" s="55"/>
      <c r="F22" s="55"/>
    </row>
    <row r="23" spans="2:6" ht="15">
      <c r="B23" s="55"/>
      <c r="C23" s="55"/>
      <c r="D23" s="55"/>
      <c r="E23" s="55"/>
      <c r="F23" s="55"/>
    </row>
    <row r="24" spans="2:6" ht="15">
      <c r="B24" s="57" t="s">
        <v>36</v>
      </c>
      <c r="C24" s="58"/>
      <c r="D24" s="58"/>
      <c r="E24" s="58"/>
      <c r="F24" s="58"/>
    </row>
    <row r="25" spans="2:6" ht="15">
      <c r="B25" s="58"/>
      <c r="C25" s="58"/>
      <c r="D25" s="58"/>
      <c r="E25" s="58"/>
      <c r="F25" s="58"/>
    </row>
  </sheetData>
  <sheetProtection/>
  <mergeCells count="8">
    <mergeCell ref="A1:A3"/>
    <mergeCell ref="L1:L3"/>
    <mergeCell ref="B15:F17"/>
    <mergeCell ref="B24:F25"/>
    <mergeCell ref="B18:F20"/>
    <mergeCell ref="B21:F23"/>
    <mergeCell ref="B2:K2"/>
    <mergeCell ref="B1:K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Shuttle</dc:creator>
  <cp:keywords/>
  <dc:description/>
  <cp:lastModifiedBy>Shuttle</cp:lastModifiedBy>
  <dcterms:created xsi:type="dcterms:W3CDTF">2008-04-25T09:57:59Z</dcterms:created>
  <dcterms:modified xsi:type="dcterms:W3CDTF">2008-09-04T07:33:52Z</dcterms:modified>
  <cp:category/>
  <cp:version/>
  <cp:contentType/>
  <cp:contentStatus/>
</cp:coreProperties>
</file>