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95" windowHeight="9720" tabRatio="658" activeTab="0"/>
  </bookViews>
  <sheets>
    <sheet name="Inscription" sheetId="1" r:id="rId1"/>
    <sheet name="Résultats" sheetId="2" r:id="rId2"/>
    <sheet name="VTT" sheetId="3" r:id="rId3"/>
    <sheet name="Course Obstacle" sheetId="4" r:id="rId4"/>
    <sheet name="Lancer Précision" sheetId="5" r:id="rId5"/>
    <sheet name="Saut à 2" sheetId="6" r:id="rId6"/>
    <sheet name="Parcours Flamme" sheetId="7" r:id="rId7"/>
    <sheet name="Statistiques" sheetId="8" r:id="rId8"/>
  </sheets>
  <definedNames/>
  <calcPr fullCalcOnLoad="1"/>
</workbook>
</file>

<file path=xl/sharedStrings.xml><?xml version="1.0" encoding="utf-8"?>
<sst xmlns="http://schemas.openxmlformats.org/spreadsheetml/2006/main" count="254" uniqueCount="133">
  <si>
    <t>Nom d'équipe</t>
  </si>
  <si>
    <t>G</t>
  </si>
  <si>
    <t>F</t>
  </si>
  <si>
    <t>Min</t>
  </si>
  <si>
    <t>Sec</t>
  </si>
  <si>
    <t>Score</t>
  </si>
  <si>
    <t>Bonus</t>
  </si>
  <si>
    <t>Points</t>
  </si>
  <si>
    <t>Coef</t>
  </si>
  <si>
    <t>Score bonnifié</t>
  </si>
  <si>
    <t>Tps en sec</t>
  </si>
  <si>
    <t>% tps moyen</t>
  </si>
  <si>
    <t>Classement</t>
  </si>
  <si>
    <t>Correctif d'age</t>
  </si>
  <si>
    <t>Vainqueur</t>
  </si>
  <si>
    <t>Temps mini</t>
  </si>
  <si>
    <t>Temps Maxi</t>
  </si>
  <si>
    <t>Bonus jeune</t>
  </si>
  <si>
    <t>Fille</t>
  </si>
  <si>
    <t>Né le</t>
  </si>
  <si>
    <t>Equipiers</t>
  </si>
  <si>
    <t>cm</t>
  </si>
  <si>
    <t>m</t>
  </si>
  <si>
    <t>Distance en cm</t>
  </si>
  <si>
    <t>mini</t>
  </si>
  <si>
    <t>Maxi</t>
  </si>
  <si>
    <t>% dist moyenne</t>
  </si>
  <si>
    <t>VTT</t>
  </si>
  <si>
    <t>Course Obstacle</t>
  </si>
  <si>
    <t>Saut à 2</t>
  </si>
  <si>
    <t>Parcours Flamme</t>
  </si>
  <si>
    <t>Lancer précision</t>
  </si>
  <si>
    <t>Total</t>
  </si>
  <si>
    <t>Lancer de précision</t>
  </si>
  <si>
    <t>Parcours de la flamme</t>
  </si>
  <si>
    <t>3eme</t>
  </si>
  <si>
    <t>2eme</t>
  </si>
  <si>
    <t>1er</t>
  </si>
  <si>
    <t>Classement réel</t>
  </si>
  <si>
    <t>Coefficient de bonification pour les équipes avec fille(s)</t>
  </si>
  <si>
    <t>Frank</t>
  </si>
  <si>
    <t>x</t>
  </si>
  <si>
    <t>Quentin</t>
  </si>
  <si>
    <t>Antoine</t>
  </si>
  <si>
    <t>The Tigers</t>
  </si>
  <si>
    <t>Simon</t>
  </si>
  <si>
    <t>Benjamin</t>
  </si>
  <si>
    <t>Victor</t>
  </si>
  <si>
    <t>Mathilde</t>
  </si>
  <si>
    <t>Jean-Charles</t>
  </si>
  <si>
    <t>Juliette</t>
  </si>
  <si>
    <t>Margaux</t>
  </si>
  <si>
    <t>Chloé</t>
  </si>
  <si>
    <t>Antony</t>
  </si>
  <si>
    <t>Jean-Baptiste</t>
  </si>
  <si>
    <t>Valentin</t>
  </si>
  <si>
    <t>Tigres Rouges</t>
  </si>
  <si>
    <t>Bleus</t>
  </si>
  <si>
    <t>Jumaé</t>
  </si>
  <si>
    <t>Toufou</t>
  </si>
  <si>
    <t>Moins de 9 ans</t>
  </si>
  <si>
    <t>9 ans</t>
  </si>
  <si>
    <t>10 ans</t>
  </si>
  <si>
    <t>11 ans</t>
  </si>
  <si>
    <t>12 ans</t>
  </si>
  <si>
    <t>13 ans</t>
  </si>
  <si>
    <t>14 ans</t>
  </si>
  <si>
    <t>Plus de 14 ans</t>
  </si>
  <si>
    <t>Garçons</t>
  </si>
  <si>
    <t>Filles</t>
  </si>
  <si>
    <t>Age</t>
  </si>
  <si>
    <t>Nombre d'inscrits</t>
  </si>
  <si>
    <t>-10 ans</t>
  </si>
  <si>
    <t>+10 ans</t>
  </si>
  <si>
    <t>-11 ans</t>
  </si>
  <si>
    <t>+11 ans</t>
  </si>
  <si>
    <t>-12 ans</t>
  </si>
  <si>
    <t>+ 12 ans</t>
  </si>
  <si>
    <t>-13 ans</t>
  </si>
  <si>
    <t>+13 ans</t>
  </si>
  <si>
    <t>-14ans</t>
  </si>
  <si>
    <t>+14ans</t>
  </si>
  <si>
    <t>% sexe/age</t>
  </si>
  <si>
    <t>% age</t>
  </si>
  <si>
    <t>Nbr</t>
  </si>
  <si>
    <t>%</t>
  </si>
  <si>
    <t>Corentin</t>
  </si>
  <si>
    <t>Timothée</t>
  </si>
  <si>
    <t>Saumons</t>
  </si>
  <si>
    <t>Augustin</t>
  </si>
  <si>
    <t>Elijah</t>
  </si>
  <si>
    <t>Alexandre</t>
  </si>
  <si>
    <t>Jaguars</t>
  </si>
  <si>
    <t>Mila</t>
  </si>
  <si>
    <t>Farah</t>
  </si>
  <si>
    <t>Louis</t>
  </si>
  <si>
    <t>Nadège</t>
  </si>
  <si>
    <t>Lucien</t>
  </si>
  <si>
    <t>Big Boss</t>
  </si>
  <si>
    <t>Raphaël</t>
  </si>
  <si>
    <t>Luc</t>
  </si>
  <si>
    <t>Alec</t>
  </si>
  <si>
    <t>Trio</t>
  </si>
  <si>
    <t>Justine</t>
  </si>
  <si>
    <t>Julie</t>
  </si>
  <si>
    <t>Pauline</t>
  </si>
  <si>
    <t>Cavalières</t>
  </si>
  <si>
    <t>Maëlle</t>
  </si>
  <si>
    <t>Maïalène</t>
  </si>
  <si>
    <t>Adèle</t>
  </si>
  <si>
    <t>Aigles Bleus</t>
  </si>
  <si>
    <t>Nicolas</t>
  </si>
  <si>
    <t>Stéphane</t>
  </si>
  <si>
    <t>Flammes Noires</t>
  </si>
  <si>
    <t>Charles</t>
  </si>
  <si>
    <t>Ch'tis</t>
  </si>
  <si>
    <t>Clovis</t>
  </si>
  <si>
    <t>Martin</t>
  </si>
  <si>
    <t>Footballeurs</t>
  </si>
  <si>
    <t>Best Ones</t>
  </si>
  <si>
    <t>Axel</t>
  </si>
  <si>
    <t>Alexi</t>
  </si>
  <si>
    <t>Samuel</t>
  </si>
  <si>
    <t>Jean</t>
  </si>
  <si>
    <t>Clervie</t>
  </si>
  <si>
    <t>Yoann</t>
  </si>
  <si>
    <t>Twisters</t>
  </si>
  <si>
    <t>Eliot</t>
  </si>
  <si>
    <t>Aigles d'or</t>
  </si>
  <si>
    <t>Baptist</t>
  </si>
  <si>
    <t>Raphael</t>
  </si>
  <si>
    <t>Tontons flingueurs</t>
  </si>
  <si>
    <t>Annulé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</si>
</sst>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&gt;=3000000000000]#&quot; &quot;##&quot; &quot;##&quot; &quot;##&quot; &quot;###&quot; &quot;###&quot; | &quot;##;#&quot; &quot;##&quot; &quot;##&quot; &quot;##&quot; &quot;###&quot; &quot;###"/>
    <numFmt numFmtId="165" formatCode="0.00000000"/>
    <numFmt numFmtId="166" formatCode="[$-40C]dddd\ d\ mmmm\ yyyy"/>
    <numFmt numFmtId="167" formatCode="yy\-mm/dd"/>
    <numFmt numFmtId="168" formatCode="yy\-mm\-dd"/>
    <numFmt numFmtId="169" formatCode="00"/>
    <numFmt numFmtId="170" formatCode="0.##"/>
    <numFmt numFmtId="171" formatCode="0.0%"/>
  </numFmts>
  <fonts count="3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6"/>
      <color indexed="10"/>
      <name val="Arial"/>
      <family val="0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sz val="10"/>
      <color indexed="12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2"/>
    </font>
    <font>
      <i/>
      <sz val="14"/>
      <color indexed="57"/>
      <name val="Arial"/>
      <family val="0"/>
    </font>
    <font>
      <sz val="6"/>
      <name val="Arial"/>
      <family val="0"/>
    </font>
    <font>
      <sz val="10"/>
      <color indexed="9"/>
      <name val="Arial"/>
      <family val="0"/>
    </font>
    <font>
      <sz val="7"/>
      <color indexed="10"/>
      <name val="Arial"/>
      <family val="0"/>
    </font>
    <font>
      <sz val="6"/>
      <color indexed="10"/>
      <name val="Arial"/>
      <family val="0"/>
    </font>
    <font>
      <i/>
      <sz val="14"/>
      <color indexed="48"/>
      <name val="Arial"/>
      <family val="0"/>
    </font>
    <font>
      <i/>
      <sz val="14"/>
      <color indexed="53"/>
      <name val="Arial"/>
      <family val="0"/>
    </font>
    <font>
      <i/>
      <sz val="14"/>
      <color indexed="42"/>
      <name val="Arial"/>
      <family val="0"/>
    </font>
    <font>
      <sz val="18"/>
      <color indexed="40"/>
      <name val="Arial"/>
      <family val="0"/>
    </font>
    <font>
      <sz val="22"/>
      <color indexed="48"/>
      <name val="Arial"/>
      <family val="0"/>
    </font>
    <font>
      <sz val="26"/>
      <color indexed="12"/>
      <name val="Arial"/>
      <family val="0"/>
    </font>
    <font>
      <b/>
      <sz val="12"/>
      <name val="Arial"/>
      <family val="2"/>
    </font>
    <font>
      <b/>
      <sz val="10"/>
      <color indexed="15"/>
      <name val="Arial"/>
      <family val="2"/>
    </font>
    <font>
      <sz val="14"/>
      <color indexed="12"/>
      <name val="Arial"/>
      <family val="2"/>
    </font>
    <font>
      <sz val="8"/>
      <color indexed="10"/>
      <name val="Arial"/>
      <family val="0"/>
    </font>
    <font>
      <i/>
      <sz val="14"/>
      <color indexed="47"/>
      <name val="Arial"/>
      <family val="0"/>
    </font>
    <font>
      <sz val="8.25"/>
      <name val="Arial"/>
      <family val="2"/>
    </font>
    <font>
      <b/>
      <sz val="14.5"/>
      <name val="Arial"/>
      <family val="2"/>
    </font>
    <font>
      <sz val="10.75"/>
      <name val="Arial"/>
      <family val="0"/>
    </font>
    <font>
      <b/>
      <sz val="10.75"/>
      <name val="Arial"/>
      <family val="0"/>
    </font>
    <font>
      <sz val="14.5"/>
      <name val="Arial"/>
      <family val="0"/>
    </font>
    <font>
      <sz val="6.25"/>
      <name val="Arial"/>
      <family val="2"/>
    </font>
    <font>
      <sz val="9.75"/>
      <name val="Arial"/>
      <family val="2"/>
    </font>
    <font>
      <sz val="23.75"/>
      <name val="Arial"/>
      <family val="0"/>
    </font>
    <font>
      <sz val="12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8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3" borderId="9" xfId="0" applyNumberFormat="1" applyFill="1" applyBorder="1" applyAlignment="1">
      <alignment horizontal="right"/>
    </xf>
    <xf numFmtId="0" fontId="0" fillId="3" borderId="10" xfId="0" applyNumberFormat="1" applyFill="1" applyBorder="1" applyAlignment="1">
      <alignment horizontal="left"/>
    </xf>
    <xf numFmtId="0" fontId="0" fillId="3" borderId="11" xfId="0" applyNumberFormat="1" applyFill="1" applyBorder="1" applyAlignment="1">
      <alignment horizontal="center"/>
    </xf>
    <xf numFmtId="0" fontId="0" fillId="3" borderId="2" xfId="0" applyNumberFormat="1" applyFill="1" applyBorder="1" applyAlignment="1">
      <alignment horizontal="right"/>
    </xf>
    <xf numFmtId="0" fontId="0" fillId="3" borderId="12" xfId="0" applyNumberFormat="1" applyFill="1" applyBorder="1" applyAlignment="1">
      <alignment horizontal="left"/>
    </xf>
    <xf numFmtId="0" fontId="0" fillId="3" borderId="13" xfId="0" applyNumberFormat="1" applyFill="1" applyBorder="1" applyAlignment="1">
      <alignment horizontal="center"/>
    </xf>
    <xf numFmtId="0" fontId="0" fillId="3" borderId="14" xfId="0" applyNumberFormat="1" applyFill="1" applyBorder="1" applyAlignment="1">
      <alignment horizontal="right"/>
    </xf>
    <xf numFmtId="0" fontId="0" fillId="3" borderId="15" xfId="0" applyNumberFormat="1" applyFill="1" applyBorder="1" applyAlignment="1">
      <alignment horizontal="left"/>
    </xf>
    <xf numFmtId="0" fontId="0" fillId="3" borderId="16" xfId="0" applyNumberForma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8" xfId="0" applyNumberFormat="1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0" fillId="0" borderId="8" xfId="0" applyBorder="1" applyAlignment="1" applyProtection="1">
      <alignment horizontal="center" vertical="center"/>
      <protection locked="0"/>
    </xf>
    <xf numFmtId="0" fontId="6" fillId="2" borderId="2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2" borderId="23" xfId="0" applyFont="1" applyFill="1" applyBorder="1" applyAlignment="1">
      <alignment horizontal="center"/>
    </xf>
    <xf numFmtId="14" fontId="0" fillId="0" borderId="8" xfId="0" applyNumberFormat="1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/>
      <protection locked="0"/>
    </xf>
    <xf numFmtId="169" fontId="0" fillId="0" borderId="12" xfId="0" applyNumberFormat="1" applyBorder="1" applyAlignment="1" applyProtection="1">
      <alignment horizontal="left"/>
      <protection locked="0"/>
    </xf>
    <xf numFmtId="169" fontId="0" fillId="0" borderId="15" xfId="0" applyNumberFormat="1" applyBorder="1" applyAlignment="1" applyProtection="1">
      <alignment horizontal="left"/>
      <protection locked="0"/>
    </xf>
    <xf numFmtId="0" fontId="0" fillId="0" borderId="18" xfId="0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0" fontId="4" fillId="4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7" fillId="8" borderId="24" xfId="0" applyFont="1" applyFill="1" applyBorder="1" applyAlignment="1">
      <alignment horizontal="center"/>
    </xf>
    <xf numFmtId="0" fontId="6" fillId="9" borderId="25" xfId="0" applyFont="1" applyFill="1" applyBorder="1" applyAlignment="1">
      <alignment vertical="center" wrapText="1"/>
    </xf>
    <xf numFmtId="0" fontId="10" fillId="7" borderId="26" xfId="0" applyFont="1" applyFill="1" applyBorder="1" applyAlignment="1">
      <alignment/>
    </xf>
    <xf numFmtId="0" fontId="16" fillId="7" borderId="27" xfId="0" applyFont="1" applyFill="1" applyBorder="1" applyAlignment="1">
      <alignment horizontal="center" vertical="center"/>
    </xf>
    <xf numFmtId="0" fontId="10" fillId="7" borderId="28" xfId="0" applyFont="1" applyFill="1" applyBorder="1" applyAlignment="1">
      <alignment/>
    </xf>
    <xf numFmtId="0" fontId="17" fillId="7" borderId="0" xfId="0" applyFont="1" applyFill="1" applyBorder="1" applyAlignment="1">
      <alignment horizontal="center" vertical="center"/>
    </xf>
    <xf numFmtId="0" fontId="10" fillId="7" borderId="29" xfId="0" applyFont="1" applyFill="1" applyBorder="1" applyAlignment="1">
      <alignment/>
    </xf>
    <xf numFmtId="0" fontId="17" fillId="7" borderId="30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/>
    </xf>
    <xf numFmtId="0" fontId="16" fillId="4" borderId="27" xfId="0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/>
    </xf>
    <xf numFmtId="0" fontId="16" fillId="4" borderId="0" xfId="0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/>
    </xf>
    <xf numFmtId="0" fontId="16" fillId="4" borderId="30" xfId="0" applyFont="1" applyFill="1" applyBorder="1" applyAlignment="1">
      <alignment horizontal="center" vertical="center"/>
    </xf>
    <xf numFmtId="0" fontId="10" fillId="5" borderId="26" xfId="0" applyFont="1" applyFill="1" applyBorder="1" applyAlignment="1">
      <alignment/>
    </xf>
    <xf numFmtId="0" fontId="16" fillId="5" borderId="27" xfId="0" applyFont="1" applyFill="1" applyBorder="1" applyAlignment="1">
      <alignment horizontal="center" vertical="center"/>
    </xf>
    <xf numFmtId="0" fontId="10" fillId="5" borderId="28" xfId="0" applyFont="1" applyFill="1" applyBorder="1" applyAlignment="1">
      <alignment/>
    </xf>
    <xf numFmtId="0" fontId="16" fillId="5" borderId="0" xfId="0" applyFont="1" applyFill="1" applyBorder="1" applyAlignment="1">
      <alignment horizontal="center" vertical="center"/>
    </xf>
    <xf numFmtId="0" fontId="10" fillId="5" borderId="29" xfId="0" applyFont="1" applyFill="1" applyBorder="1" applyAlignment="1">
      <alignment/>
    </xf>
    <xf numFmtId="0" fontId="16" fillId="5" borderId="30" xfId="0" applyFont="1" applyFill="1" applyBorder="1" applyAlignment="1">
      <alignment horizontal="center" vertical="center"/>
    </xf>
    <xf numFmtId="0" fontId="10" fillId="6" borderId="26" xfId="0" applyFont="1" applyFill="1" applyBorder="1" applyAlignment="1">
      <alignment/>
    </xf>
    <xf numFmtId="0" fontId="16" fillId="6" borderId="27" xfId="0" applyFont="1" applyFill="1" applyBorder="1" applyAlignment="1">
      <alignment horizontal="center" vertical="center"/>
    </xf>
    <xf numFmtId="0" fontId="10" fillId="6" borderId="28" xfId="0" applyFont="1" applyFill="1" applyBorder="1" applyAlignment="1">
      <alignment/>
    </xf>
    <xf numFmtId="0" fontId="16" fillId="6" borderId="0" xfId="0" applyFont="1" applyFill="1" applyBorder="1" applyAlignment="1">
      <alignment horizontal="center" vertical="center"/>
    </xf>
    <xf numFmtId="0" fontId="10" fillId="6" borderId="29" xfId="0" applyFont="1" applyFill="1" applyBorder="1" applyAlignment="1">
      <alignment/>
    </xf>
    <xf numFmtId="0" fontId="16" fillId="6" borderId="30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0" fillId="7" borderId="3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0" fillId="7" borderId="16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0" fillId="4" borderId="1" xfId="0" applyFill="1" applyBorder="1" applyAlignment="1">
      <alignment/>
    </xf>
    <xf numFmtId="1" fontId="4" fillId="4" borderId="1" xfId="0" applyNumberFormat="1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0" fillId="4" borderId="3" xfId="0" applyFill="1" applyBorder="1" applyAlignment="1">
      <alignment/>
    </xf>
    <xf numFmtId="1" fontId="4" fillId="4" borderId="3" xfId="0" applyNumberFormat="1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4" fillId="5" borderId="8" xfId="0" applyNumberFormat="1" applyFont="1" applyFill="1" applyBorder="1" applyAlignment="1">
      <alignment horizontal="center"/>
    </xf>
    <xf numFmtId="0" fontId="10" fillId="5" borderId="11" xfId="0" applyNumberFormat="1" applyFont="1" applyFill="1" applyBorder="1" applyAlignment="1">
      <alignment horizontal="center"/>
    </xf>
    <xf numFmtId="0" fontId="4" fillId="5" borderId="1" xfId="0" applyNumberFormat="1" applyFont="1" applyFill="1" applyBorder="1" applyAlignment="1">
      <alignment horizontal="center"/>
    </xf>
    <xf numFmtId="0" fontId="10" fillId="5" borderId="13" xfId="0" applyNumberFormat="1" applyFont="1" applyFill="1" applyBorder="1" applyAlignment="1">
      <alignment horizontal="center"/>
    </xf>
    <xf numFmtId="0" fontId="4" fillId="5" borderId="3" xfId="0" applyNumberFormat="1" applyFont="1" applyFill="1" applyBorder="1" applyAlignment="1">
      <alignment horizontal="center"/>
    </xf>
    <xf numFmtId="0" fontId="10" fillId="5" borderId="16" xfId="0" applyNumberFormat="1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0" fillId="6" borderId="1" xfId="0" applyFill="1" applyBorder="1" applyAlignment="1">
      <alignment/>
    </xf>
    <xf numFmtId="1" fontId="4" fillId="6" borderId="1" xfId="0" applyNumberFormat="1" applyFont="1" applyFill="1" applyBorder="1" applyAlignment="1">
      <alignment horizontal="center"/>
    </xf>
    <xf numFmtId="0" fontId="10" fillId="6" borderId="13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0" fillId="6" borderId="3" xfId="0" applyFill="1" applyBorder="1" applyAlignment="1">
      <alignment/>
    </xf>
    <xf numFmtId="1" fontId="4" fillId="6" borderId="3" xfId="0" applyNumberFormat="1" applyFont="1" applyFill="1" applyBorder="1" applyAlignment="1">
      <alignment horizontal="center"/>
    </xf>
    <xf numFmtId="0" fontId="10" fillId="6" borderId="16" xfId="0" applyFont="1" applyFill="1" applyBorder="1" applyAlignment="1">
      <alignment horizontal="center"/>
    </xf>
    <xf numFmtId="0" fontId="4" fillId="7" borderId="32" xfId="0" applyFont="1" applyFill="1" applyBorder="1" applyAlignment="1">
      <alignment horizontal="center" vertical="center"/>
    </xf>
    <xf numFmtId="0" fontId="4" fillId="7" borderId="33" xfId="0" applyFont="1" applyFill="1" applyBorder="1" applyAlignment="1">
      <alignment horizontal="center" vertical="center"/>
    </xf>
    <xf numFmtId="0" fontId="4" fillId="7" borderId="34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33" xfId="0" applyFont="1" applyFill="1" applyBorder="1" applyAlignment="1">
      <alignment horizontal="center" vertical="center"/>
    </xf>
    <xf numFmtId="0" fontId="4" fillId="5" borderId="34" xfId="0" applyFont="1" applyFill="1" applyBorder="1" applyAlignment="1">
      <alignment horizontal="center" vertical="center"/>
    </xf>
    <xf numFmtId="0" fontId="4" fillId="6" borderId="33" xfId="0" applyFont="1" applyFill="1" applyBorder="1" applyAlignment="1">
      <alignment horizontal="center" vertical="center"/>
    </xf>
    <xf numFmtId="0" fontId="4" fillId="6" borderId="34" xfId="0" applyFont="1" applyFill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15" fillId="0" borderId="35" xfId="0" applyFont="1" applyBorder="1" applyAlignment="1">
      <alignment/>
    </xf>
    <xf numFmtId="0" fontId="15" fillId="0" borderId="35" xfId="0" applyFont="1" applyBorder="1" applyAlignment="1">
      <alignment horizontal="center" vertical="center"/>
    </xf>
    <xf numFmtId="0" fontId="4" fillId="10" borderId="33" xfId="0" applyFont="1" applyFill="1" applyBorder="1" applyAlignment="1">
      <alignment horizontal="center" vertical="center"/>
    </xf>
    <xf numFmtId="0" fontId="4" fillId="10" borderId="34" xfId="0" applyFont="1" applyFill="1" applyBorder="1" applyAlignment="1">
      <alignment horizontal="center" vertical="center"/>
    </xf>
    <xf numFmtId="0" fontId="25" fillId="10" borderId="1" xfId="0" applyFont="1" applyFill="1" applyBorder="1" applyAlignment="1">
      <alignment horizontal="center"/>
    </xf>
    <xf numFmtId="0" fontId="0" fillId="10" borderId="1" xfId="0" applyFill="1" applyBorder="1" applyAlignment="1">
      <alignment/>
    </xf>
    <xf numFmtId="1" fontId="4" fillId="10" borderId="1" xfId="0" applyNumberFormat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25" fillId="10" borderId="3" xfId="0" applyFont="1" applyFill="1" applyBorder="1" applyAlignment="1">
      <alignment horizontal="center"/>
    </xf>
    <xf numFmtId="0" fontId="0" fillId="10" borderId="3" xfId="0" applyFill="1" applyBorder="1" applyAlignment="1">
      <alignment/>
    </xf>
    <xf numFmtId="1" fontId="4" fillId="10" borderId="3" xfId="0" applyNumberFormat="1" applyFont="1" applyFill="1" applyBorder="1" applyAlignment="1">
      <alignment horizontal="center"/>
    </xf>
    <xf numFmtId="0" fontId="10" fillId="10" borderId="16" xfId="0" applyFont="1" applyFill="1" applyBorder="1" applyAlignment="1">
      <alignment horizontal="center"/>
    </xf>
    <xf numFmtId="0" fontId="10" fillId="10" borderId="26" xfId="0" applyFont="1" applyFill="1" applyBorder="1" applyAlignment="1">
      <alignment/>
    </xf>
    <xf numFmtId="0" fontId="16" fillId="10" borderId="27" xfId="0" applyFont="1" applyFill="1" applyBorder="1" applyAlignment="1">
      <alignment horizontal="center" vertical="center"/>
    </xf>
    <xf numFmtId="0" fontId="14" fillId="10" borderId="0" xfId="0" applyFont="1" applyFill="1" applyAlignment="1">
      <alignment horizontal="center"/>
    </xf>
    <xf numFmtId="0" fontId="10" fillId="10" borderId="28" xfId="0" applyFont="1" applyFill="1" applyBorder="1" applyAlignment="1">
      <alignment/>
    </xf>
    <xf numFmtId="0" fontId="16" fillId="10" borderId="0" xfId="0" applyFont="1" applyFill="1" applyBorder="1" applyAlignment="1">
      <alignment horizontal="center" vertical="center"/>
    </xf>
    <xf numFmtId="0" fontId="10" fillId="10" borderId="29" xfId="0" applyFont="1" applyFill="1" applyBorder="1" applyAlignment="1">
      <alignment/>
    </xf>
    <xf numFmtId="0" fontId="16" fillId="10" borderId="30" xfId="0" applyFont="1" applyFill="1" applyBorder="1" applyAlignment="1">
      <alignment horizontal="center" vertical="center"/>
    </xf>
    <xf numFmtId="0" fontId="4" fillId="10" borderId="0" xfId="0" applyFont="1" applyFill="1" applyAlignment="1">
      <alignment horizontal="center"/>
    </xf>
    <xf numFmtId="0" fontId="6" fillId="8" borderId="6" xfId="0" applyFont="1" applyFill="1" applyBorder="1" applyAlignment="1">
      <alignment horizontal="center"/>
    </xf>
    <xf numFmtId="0" fontId="6" fillId="8" borderId="6" xfId="0" applyFont="1" applyFill="1" applyBorder="1" applyAlignment="1">
      <alignment horizontal="center" vertical="center"/>
    </xf>
    <xf numFmtId="0" fontId="0" fillId="8" borderId="2" xfId="0" applyFill="1" applyBorder="1" applyAlignment="1">
      <alignment/>
    </xf>
    <xf numFmtId="0" fontId="0" fillId="8" borderId="19" xfId="0" applyFill="1" applyBorder="1" applyAlignment="1">
      <alignment horizontal="center" vertical="center"/>
    </xf>
    <xf numFmtId="0" fontId="0" fillId="8" borderId="1" xfId="0" applyFill="1" applyBorder="1" applyAlignment="1" applyProtection="1">
      <alignment/>
      <protection/>
    </xf>
    <xf numFmtId="0" fontId="0" fillId="8" borderId="1" xfId="0" applyFill="1" applyBorder="1" applyAlignment="1">
      <alignment/>
    </xf>
    <xf numFmtId="0" fontId="0" fillId="8" borderId="3" xfId="0" applyFill="1" applyBorder="1" applyAlignment="1" applyProtection="1">
      <alignment/>
      <protection/>
    </xf>
    <xf numFmtId="0" fontId="0" fillId="8" borderId="3" xfId="0" applyFill="1" applyBorder="1" applyAlignment="1">
      <alignment/>
    </xf>
    <xf numFmtId="0" fontId="0" fillId="8" borderId="1" xfId="0" applyNumberFormat="1" applyFill="1" applyBorder="1" applyAlignment="1">
      <alignment/>
    </xf>
    <xf numFmtId="0" fontId="0" fillId="8" borderId="3" xfId="0" applyNumberFormat="1" applyFill="1" applyBorder="1" applyAlignment="1">
      <alignment/>
    </xf>
    <xf numFmtId="0" fontId="0" fillId="8" borderId="35" xfId="0" applyFill="1" applyBorder="1" applyAlignment="1">
      <alignment/>
    </xf>
    <xf numFmtId="0" fontId="0" fillId="8" borderId="36" xfId="0" applyFill="1" applyBorder="1" applyAlignment="1">
      <alignment horizontal="center" vertical="center"/>
    </xf>
    <xf numFmtId="0" fontId="1" fillId="8" borderId="8" xfId="0" applyNumberFormat="1" applyFont="1" applyFill="1" applyBorder="1" applyAlignment="1">
      <alignment horizontal="center"/>
    </xf>
    <xf numFmtId="0" fontId="1" fillId="8" borderId="1" xfId="0" applyNumberFormat="1" applyFont="1" applyFill="1" applyBorder="1" applyAlignment="1">
      <alignment horizontal="center"/>
    </xf>
    <xf numFmtId="0" fontId="1" fillId="8" borderId="3" xfId="0" applyNumberFormat="1" applyFont="1" applyFill="1" applyBorder="1" applyAlignment="1">
      <alignment horizontal="center"/>
    </xf>
    <xf numFmtId="0" fontId="0" fillId="8" borderId="18" xfId="0" applyFill="1" applyBorder="1" applyAlignment="1">
      <alignment/>
    </xf>
    <xf numFmtId="0" fontId="0" fillId="8" borderId="0" xfId="0" applyFill="1" applyAlignment="1">
      <alignment/>
    </xf>
    <xf numFmtId="14" fontId="0" fillId="8" borderId="0" xfId="0" applyNumberFormat="1" applyFill="1" applyAlignment="1">
      <alignment horizontal="center" vertical="center"/>
    </xf>
    <xf numFmtId="0" fontId="0" fillId="8" borderId="0" xfId="0" applyNumberForma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1" fillId="8" borderId="0" xfId="0" applyFont="1" applyFill="1" applyAlignment="1">
      <alignment horizontal="center" vertical="center" wrapText="1"/>
    </xf>
    <xf numFmtId="0" fontId="0" fillId="8" borderId="0" xfId="0" applyNumberFormat="1" applyFill="1" applyAlignment="1">
      <alignment/>
    </xf>
    <xf numFmtId="14" fontId="0" fillId="0" borderId="37" xfId="0" applyNumberFormat="1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3" borderId="38" xfId="0" applyNumberFormat="1" applyFill="1" applyBorder="1" applyAlignment="1">
      <alignment horizontal="left"/>
    </xf>
    <xf numFmtId="0" fontId="11" fillId="7" borderId="39" xfId="0" applyFont="1" applyFill="1" applyBorder="1" applyAlignment="1">
      <alignment horizontal="center"/>
    </xf>
    <xf numFmtId="0" fontId="4" fillId="7" borderId="40" xfId="0" applyFont="1" applyFill="1" applyBorder="1" applyAlignment="1">
      <alignment horizontal="center" vertical="center"/>
    </xf>
    <xf numFmtId="1" fontId="0" fillId="7" borderId="40" xfId="0" applyNumberFormat="1" applyFill="1" applyBorder="1" applyAlignment="1">
      <alignment horizontal="center"/>
    </xf>
    <xf numFmtId="0" fontId="11" fillId="7" borderId="41" xfId="0" applyFont="1" applyFill="1" applyBorder="1" applyAlignment="1">
      <alignment horizontal="center"/>
    </xf>
    <xf numFmtId="0" fontId="11" fillId="4" borderId="39" xfId="0" applyFont="1" applyFill="1" applyBorder="1" applyAlignment="1">
      <alignment horizontal="center"/>
    </xf>
    <xf numFmtId="0" fontId="11" fillId="4" borderId="40" xfId="0" applyFont="1" applyFill="1" applyBorder="1" applyAlignment="1">
      <alignment horizontal="center"/>
    </xf>
    <xf numFmtId="1" fontId="0" fillId="4" borderId="40" xfId="0" applyNumberFormat="1" applyFill="1" applyBorder="1" applyAlignment="1">
      <alignment horizontal="center"/>
    </xf>
    <xf numFmtId="0" fontId="11" fillId="4" borderId="41" xfId="0" applyFont="1" applyFill="1" applyBorder="1" applyAlignment="1">
      <alignment horizontal="center"/>
    </xf>
    <xf numFmtId="0" fontId="11" fillId="5" borderId="39" xfId="0" applyFont="1" applyFill="1" applyBorder="1" applyAlignment="1">
      <alignment horizontal="center"/>
    </xf>
    <xf numFmtId="0" fontId="11" fillId="5" borderId="40" xfId="0" applyFont="1" applyFill="1" applyBorder="1" applyAlignment="1">
      <alignment horizontal="center"/>
    </xf>
    <xf numFmtId="1" fontId="0" fillId="5" borderId="40" xfId="0" applyNumberFormat="1" applyFill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6" borderId="39" xfId="0" applyFont="1" applyFill="1" applyBorder="1" applyAlignment="1">
      <alignment horizontal="center"/>
    </xf>
    <xf numFmtId="0" fontId="11" fillId="6" borderId="40" xfId="0" applyFont="1" applyFill="1" applyBorder="1" applyAlignment="1">
      <alignment horizontal="center"/>
    </xf>
    <xf numFmtId="1" fontId="0" fillId="6" borderId="40" xfId="0" applyNumberFormat="1" applyFill="1" applyBorder="1" applyAlignment="1">
      <alignment horizontal="center"/>
    </xf>
    <xf numFmtId="0" fontId="11" fillId="6" borderId="41" xfId="0" applyFont="1" applyFill="1" applyBorder="1" applyAlignment="1">
      <alignment horizontal="center"/>
    </xf>
    <xf numFmtId="0" fontId="11" fillId="10" borderId="39" xfId="0" applyFont="1" applyFill="1" applyBorder="1" applyAlignment="1">
      <alignment horizontal="center"/>
    </xf>
    <xf numFmtId="0" fontId="11" fillId="10" borderId="40" xfId="0" applyFont="1" applyFill="1" applyBorder="1" applyAlignment="1">
      <alignment horizontal="center"/>
    </xf>
    <xf numFmtId="1" fontId="0" fillId="10" borderId="40" xfId="0" applyNumberFormat="1" applyFill="1" applyBorder="1" applyAlignment="1">
      <alignment horizontal="center"/>
    </xf>
    <xf numFmtId="2" fontId="0" fillId="8" borderId="39" xfId="0" applyNumberFormat="1" applyFill="1" applyBorder="1" applyAlignment="1">
      <alignment horizontal="center"/>
    </xf>
    <xf numFmtId="0" fontId="12" fillId="8" borderId="41" xfId="0" applyFont="1" applyFill="1" applyBorder="1" applyAlignment="1">
      <alignment horizontal="center"/>
    </xf>
    <xf numFmtId="0" fontId="11" fillId="7" borderId="42" xfId="0" applyFont="1" applyFill="1" applyBorder="1" applyAlignment="1">
      <alignment horizontal="center"/>
    </xf>
    <xf numFmtId="0" fontId="4" fillId="7" borderId="43" xfId="0" applyFont="1" applyFill="1" applyBorder="1" applyAlignment="1">
      <alignment horizontal="center" vertical="center"/>
    </xf>
    <xf numFmtId="1" fontId="0" fillId="7" borderId="43" xfId="0" applyNumberFormat="1" applyFill="1" applyBorder="1" applyAlignment="1">
      <alignment horizontal="center"/>
    </xf>
    <xf numFmtId="0" fontId="11" fillId="7" borderId="44" xfId="0" applyFont="1" applyFill="1" applyBorder="1" applyAlignment="1">
      <alignment horizontal="center"/>
    </xf>
    <xf numFmtId="0" fontId="11" fillId="4" borderId="42" xfId="0" applyFont="1" applyFill="1" applyBorder="1" applyAlignment="1">
      <alignment horizontal="center"/>
    </xf>
    <xf numFmtId="0" fontId="11" fillId="4" borderId="43" xfId="0" applyFont="1" applyFill="1" applyBorder="1" applyAlignment="1">
      <alignment horizontal="center"/>
    </xf>
    <xf numFmtId="1" fontId="0" fillId="4" borderId="43" xfId="0" applyNumberFormat="1" applyFill="1" applyBorder="1" applyAlignment="1">
      <alignment horizontal="center"/>
    </xf>
    <xf numFmtId="0" fontId="11" fillId="4" borderId="44" xfId="0" applyFont="1" applyFill="1" applyBorder="1" applyAlignment="1">
      <alignment horizontal="center"/>
    </xf>
    <xf numFmtId="0" fontId="11" fillId="5" borderId="42" xfId="0" applyFont="1" applyFill="1" applyBorder="1" applyAlignment="1">
      <alignment horizontal="center"/>
    </xf>
    <xf numFmtId="0" fontId="11" fillId="5" borderId="43" xfId="0" applyFont="1" applyFill="1" applyBorder="1" applyAlignment="1">
      <alignment horizontal="center"/>
    </xf>
    <xf numFmtId="1" fontId="0" fillId="5" borderId="43" xfId="0" applyNumberFormat="1" applyFill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6" borderId="42" xfId="0" applyFont="1" applyFill="1" applyBorder="1" applyAlignment="1">
      <alignment horizontal="center"/>
    </xf>
    <xf numFmtId="0" fontId="11" fillId="6" borderId="43" xfId="0" applyFont="1" applyFill="1" applyBorder="1" applyAlignment="1">
      <alignment horizontal="center"/>
    </xf>
    <xf numFmtId="1" fontId="0" fillId="6" borderId="43" xfId="0" applyNumberFormat="1" applyFill="1" applyBorder="1" applyAlignment="1">
      <alignment horizontal="center"/>
    </xf>
    <xf numFmtId="0" fontId="11" fillId="6" borderId="44" xfId="0" applyFont="1" applyFill="1" applyBorder="1" applyAlignment="1">
      <alignment horizontal="center"/>
    </xf>
    <xf numFmtId="0" fontId="11" fillId="10" borderId="42" xfId="0" applyFont="1" applyFill="1" applyBorder="1" applyAlignment="1">
      <alignment horizontal="center"/>
    </xf>
    <xf numFmtId="0" fontId="11" fillId="10" borderId="43" xfId="0" applyFont="1" applyFill="1" applyBorder="1" applyAlignment="1">
      <alignment horizontal="center"/>
    </xf>
    <xf numFmtId="1" fontId="0" fillId="10" borderId="43" xfId="0" applyNumberFormat="1" applyFill="1" applyBorder="1" applyAlignment="1">
      <alignment horizontal="center"/>
    </xf>
    <xf numFmtId="2" fontId="0" fillId="8" borderId="42" xfId="0" applyNumberFormat="1" applyFill="1" applyBorder="1" applyAlignment="1">
      <alignment horizontal="center"/>
    </xf>
    <xf numFmtId="0" fontId="12" fillId="8" borderId="44" xfId="0" applyFont="1" applyFill="1" applyBorder="1" applyAlignment="1">
      <alignment horizontal="center"/>
    </xf>
    <xf numFmtId="0" fontId="11" fillId="7" borderId="45" xfId="0" applyFont="1" applyFill="1" applyBorder="1" applyAlignment="1">
      <alignment horizontal="center"/>
    </xf>
    <xf numFmtId="0" fontId="4" fillId="7" borderId="46" xfId="0" applyFont="1" applyFill="1" applyBorder="1" applyAlignment="1">
      <alignment horizontal="center" vertical="center"/>
    </xf>
    <xf numFmtId="1" fontId="0" fillId="7" borderId="46" xfId="0" applyNumberFormat="1" applyFill="1" applyBorder="1" applyAlignment="1">
      <alignment horizontal="center"/>
    </xf>
    <xf numFmtId="0" fontId="11" fillId="7" borderId="47" xfId="0" applyFont="1" applyFill="1" applyBorder="1" applyAlignment="1">
      <alignment horizontal="center"/>
    </xf>
    <xf numFmtId="0" fontId="11" fillId="4" borderId="45" xfId="0" applyFont="1" applyFill="1" applyBorder="1" applyAlignment="1">
      <alignment horizontal="center"/>
    </xf>
    <xf numFmtId="0" fontId="11" fillId="4" borderId="46" xfId="0" applyFont="1" applyFill="1" applyBorder="1" applyAlignment="1">
      <alignment horizontal="center"/>
    </xf>
    <xf numFmtId="1" fontId="0" fillId="4" borderId="46" xfId="0" applyNumberFormat="1" applyFill="1" applyBorder="1" applyAlignment="1">
      <alignment horizontal="center"/>
    </xf>
    <xf numFmtId="0" fontId="11" fillId="4" borderId="47" xfId="0" applyFont="1" applyFill="1" applyBorder="1" applyAlignment="1">
      <alignment horizontal="center"/>
    </xf>
    <xf numFmtId="0" fontId="11" fillId="5" borderId="45" xfId="0" applyFont="1" applyFill="1" applyBorder="1" applyAlignment="1">
      <alignment horizontal="center"/>
    </xf>
    <xf numFmtId="0" fontId="11" fillId="5" borderId="46" xfId="0" applyFont="1" applyFill="1" applyBorder="1" applyAlignment="1">
      <alignment horizontal="center"/>
    </xf>
    <xf numFmtId="1" fontId="0" fillId="5" borderId="46" xfId="0" applyNumberFormat="1" applyFill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1" fillId="6" borderId="45" xfId="0" applyFont="1" applyFill="1" applyBorder="1" applyAlignment="1">
      <alignment horizontal="center"/>
    </xf>
    <xf numFmtId="0" fontId="11" fillId="6" borderId="46" xfId="0" applyFont="1" applyFill="1" applyBorder="1" applyAlignment="1">
      <alignment horizontal="center"/>
    </xf>
    <xf numFmtId="1" fontId="0" fillId="6" borderId="46" xfId="0" applyNumberFormat="1" applyFill="1" applyBorder="1" applyAlignment="1">
      <alignment horizontal="center"/>
    </xf>
    <xf numFmtId="0" fontId="11" fillId="6" borderId="47" xfId="0" applyFont="1" applyFill="1" applyBorder="1" applyAlignment="1">
      <alignment horizontal="center"/>
    </xf>
    <xf numFmtId="0" fontId="11" fillId="10" borderId="45" xfId="0" applyFont="1" applyFill="1" applyBorder="1" applyAlignment="1">
      <alignment horizontal="center"/>
    </xf>
    <xf numFmtId="0" fontId="11" fillId="10" borderId="46" xfId="0" applyFont="1" applyFill="1" applyBorder="1" applyAlignment="1">
      <alignment horizontal="center"/>
    </xf>
    <xf numFmtId="1" fontId="0" fillId="10" borderId="46" xfId="0" applyNumberFormat="1" applyFill="1" applyBorder="1" applyAlignment="1">
      <alignment horizontal="center"/>
    </xf>
    <xf numFmtId="2" fontId="0" fillId="8" borderId="45" xfId="0" applyNumberFormat="1" applyFill="1" applyBorder="1" applyAlignment="1">
      <alignment horizontal="center"/>
    </xf>
    <xf numFmtId="0" fontId="12" fillId="8" borderId="47" xfId="0" applyFont="1" applyFill="1" applyBorder="1" applyAlignment="1">
      <alignment horizontal="center"/>
    </xf>
    <xf numFmtId="0" fontId="6" fillId="11" borderId="48" xfId="0" applyFont="1" applyFill="1" applyBorder="1" applyAlignment="1">
      <alignment horizontal="center" vertical="center"/>
    </xf>
    <xf numFmtId="0" fontId="4" fillId="11" borderId="49" xfId="0" applyFont="1" applyFill="1" applyBorder="1" applyAlignment="1">
      <alignment horizontal="center" vertical="center" shrinkToFit="1"/>
    </xf>
    <xf numFmtId="0" fontId="4" fillId="11" borderId="50" xfId="0" applyFont="1" applyFill="1" applyBorder="1" applyAlignment="1">
      <alignment horizontal="center" vertical="center" shrinkToFit="1"/>
    </xf>
    <xf numFmtId="0" fontId="4" fillId="11" borderId="51" xfId="0" applyFont="1" applyFill="1" applyBorder="1" applyAlignment="1">
      <alignment horizontal="center" vertical="center" shrinkToFit="1"/>
    </xf>
    <xf numFmtId="0" fontId="0" fillId="0" borderId="8" xfId="0" applyBorder="1" applyAlignment="1" applyProtection="1">
      <alignment shrinkToFit="1"/>
      <protection locked="0"/>
    </xf>
    <xf numFmtId="0" fontId="0" fillId="0" borderId="1" xfId="0" applyBorder="1" applyAlignment="1" applyProtection="1">
      <alignment shrinkToFit="1"/>
      <protection locked="0"/>
    </xf>
    <xf numFmtId="0" fontId="0" fillId="0" borderId="37" xfId="0" applyBorder="1" applyAlignment="1" applyProtection="1">
      <alignment shrinkToFit="1"/>
      <protection locked="0"/>
    </xf>
    <xf numFmtId="0" fontId="0" fillId="0" borderId="3" xfId="0" applyBorder="1" applyAlignment="1" applyProtection="1">
      <alignment shrinkToFit="1"/>
      <protection locked="0"/>
    </xf>
    <xf numFmtId="0" fontId="0" fillId="7" borderId="52" xfId="0" applyFill="1" applyBorder="1" applyAlignment="1">
      <alignment horizontal="left" shrinkToFit="1"/>
    </xf>
    <xf numFmtId="0" fontId="0" fillId="7" borderId="53" xfId="0" applyFill="1" applyBorder="1" applyAlignment="1">
      <alignment horizontal="left" shrinkToFit="1"/>
    </xf>
    <xf numFmtId="0" fontId="0" fillId="7" borderId="54" xfId="0" applyFill="1" applyBorder="1" applyAlignment="1">
      <alignment horizontal="left" shrinkToFit="1"/>
    </xf>
    <xf numFmtId="0" fontId="0" fillId="4" borderId="52" xfId="0" applyFill="1" applyBorder="1" applyAlignment="1">
      <alignment horizontal="left" shrinkToFit="1"/>
    </xf>
    <xf numFmtId="0" fontId="0" fillId="4" borderId="53" xfId="0" applyFill="1" applyBorder="1" applyAlignment="1">
      <alignment horizontal="left" shrinkToFit="1"/>
    </xf>
    <xf numFmtId="0" fontId="0" fillId="4" borderId="54" xfId="0" applyFill="1" applyBorder="1" applyAlignment="1">
      <alignment horizontal="left" shrinkToFit="1"/>
    </xf>
    <xf numFmtId="0" fontId="0" fillId="5" borderId="52" xfId="0" applyFill="1" applyBorder="1" applyAlignment="1">
      <alignment horizontal="left" shrinkToFit="1"/>
    </xf>
    <xf numFmtId="0" fontId="0" fillId="5" borderId="53" xfId="0" applyFill="1" applyBorder="1" applyAlignment="1">
      <alignment horizontal="left" shrinkToFit="1"/>
    </xf>
    <xf numFmtId="0" fontId="0" fillId="5" borderId="54" xfId="0" applyFill="1" applyBorder="1" applyAlignment="1">
      <alignment horizontal="left" shrinkToFit="1"/>
    </xf>
    <xf numFmtId="0" fontId="0" fillId="6" borderId="52" xfId="0" applyFill="1" applyBorder="1" applyAlignment="1">
      <alignment horizontal="left" shrinkToFit="1"/>
    </xf>
    <xf numFmtId="0" fontId="0" fillId="6" borderId="53" xfId="0" applyFill="1" applyBorder="1" applyAlignment="1">
      <alignment horizontal="left" shrinkToFit="1"/>
    </xf>
    <xf numFmtId="0" fontId="0" fillId="6" borderId="54" xfId="0" applyFill="1" applyBorder="1" applyAlignment="1">
      <alignment horizontal="left" shrinkToFit="1"/>
    </xf>
    <xf numFmtId="0" fontId="0" fillId="10" borderId="52" xfId="0" applyFill="1" applyBorder="1" applyAlignment="1">
      <alignment horizontal="left" shrinkToFit="1"/>
    </xf>
    <xf numFmtId="0" fontId="0" fillId="10" borderId="53" xfId="0" applyFill="1" applyBorder="1" applyAlignment="1">
      <alignment horizontal="left" shrinkToFit="1"/>
    </xf>
    <xf numFmtId="0" fontId="0" fillId="10" borderId="54" xfId="0" applyFill="1" applyBorder="1" applyAlignment="1">
      <alignment horizontal="left" shrinkToFi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71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/>
    </xf>
    <xf numFmtId="9" fontId="0" fillId="0" borderId="0" xfId="0" applyNumberFormat="1" applyAlignment="1">
      <alignment/>
    </xf>
    <xf numFmtId="0" fontId="1" fillId="0" borderId="0" xfId="0" applyFont="1" applyAlignment="1">
      <alignment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9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0" fillId="0" borderId="33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36" xfId="0" applyBorder="1" applyAlignment="1">
      <alignment/>
    </xf>
    <xf numFmtId="0" fontId="1" fillId="2" borderId="3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0" fillId="12" borderId="33" xfId="0" applyFill="1" applyBorder="1" applyAlignment="1">
      <alignment horizontal="center"/>
    </xf>
    <xf numFmtId="9" fontId="0" fillId="12" borderId="33" xfId="0" applyNumberForma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9" fontId="0" fillId="13" borderId="1" xfId="0" applyNumberFormat="1" applyFill="1" applyBorder="1" applyAlignment="1">
      <alignment horizontal="center"/>
    </xf>
    <xf numFmtId="0" fontId="0" fillId="14" borderId="13" xfId="0" applyFill="1" applyBorder="1" applyAlignment="1">
      <alignment horizontal="center"/>
    </xf>
    <xf numFmtId="9" fontId="0" fillId="14" borderId="13" xfId="0" applyNumberFormat="1" applyFill="1" applyBorder="1" applyAlignment="1">
      <alignment horizontal="center"/>
    </xf>
    <xf numFmtId="14" fontId="0" fillId="0" borderId="3" xfId="0" applyNumberFormat="1" applyFont="1" applyBorder="1" applyAlignment="1" applyProtection="1">
      <alignment horizontal="center"/>
      <protection locked="0"/>
    </xf>
    <xf numFmtId="14" fontId="0" fillId="0" borderId="8" xfId="0" applyNumberFormat="1" applyBorder="1" applyAlignment="1" applyProtection="1">
      <alignment shrinkToFit="1"/>
      <protection locked="0"/>
    </xf>
    <xf numFmtId="0" fontId="27" fillId="0" borderId="0" xfId="0" applyFont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5" borderId="8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0" fillId="8" borderId="0" xfId="0" applyNumberFormat="1" applyFill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6" fillId="2" borderId="48" xfId="0" applyFont="1" applyFill="1" applyBorder="1" applyAlignment="1">
      <alignment horizontal="center" vertical="center"/>
    </xf>
    <xf numFmtId="0" fontId="6" fillId="2" borderId="55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20" fillId="7" borderId="0" xfId="0" applyFont="1" applyFill="1" applyAlignment="1">
      <alignment horizontal="center" vertical="center" shrinkToFit="1"/>
    </xf>
    <xf numFmtId="0" fontId="6" fillId="10" borderId="48" xfId="0" applyFont="1" applyFill="1" applyBorder="1" applyAlignment="1">
      <alignment horizontal="center" vertical="center" wrapText="1"/>
    </xf>
    <xf numFmtId="0" fontId="6" fillId="10" borderId="56" xfId="0" applyFont="1" applyFill="1" applyBorder="1" applyAlignment="1">
      <alignment horizontal="center" vertical="center" wrapText="1"/>
    </xf>
    <xf numFmtId="0" fontId="6" fillId="8" borderId="48" xfId="0" applyFont="1" applyFill="1" applyBorder="1" applyAlignment="1">
      <alignment horizontal="center" vertical="center" wrapText="1"/>
    </xf>
    <xf numFmtId="0" fontId="6" fillId="8" borderId="25" xfId="0" applyFont="1" applyFill="1" applyBorder="1" applyAlignment="1">
      <alignment horizontal="center" vertical="center" wrapText="1"/>
    </xf>
    <xf numFmtId="0" fontId="6" fillId="7" borderId="48" xfId="0" applyFont="1" applyFill="1" applyBorder="1" applyAlignment="1">
      <alignment horizontal="center" vertical="center" wrapText="1"/>
    </xf>
    <xf numFmtId="0" fontId="6" fillId="7" borderId="56" xfId="0" applyFont="1" applyFill="1" applyBorder="1" applyAlignment="1">
      <alignment horizontal="center" vertical="center" wrapText="1"/>
    </xf>
    <xf numFmtId="0" fontId="6" fillId="7" borderId="25" xfId="0" applyFont="1" applyFill="1" applyBorder="1" applyAlignment="1">
      <alignment horizontal="center" vertical="center" wrapText="1"/>
    </xf>
    <xf numFmtId="0" fontId="6" fillId="4" borderId="48" xfId="0" applyFont="1" applyFill="1" applyBorder="1" applyAlignment="1">
      <alignment horizontal="center" vertical="center" wrapText="1"/>
    </xf>
    <xf numFmtId="0" fontId="6" fillId="4" borderId="56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5" borderId="48" xfId="0" applyFont="1" applyFill="1" applyBorder="1" applyAlignment="1">
      <alignment horizontal="center" vertical="center" wrapText="1"/>
    </xf>
    <xf numFmtId="0" fontId="6" fillId="5" borderId="56" xfId="0" applyFont="1" applyFill="1" applyBorder="1" applyAlignment="1">
      <alignment horizontal="center" vertical="center" wrapText="1"/>
    </xf>
    <xf numFmtId="0" fontId="6" fillId="6" borderId="48" xfId="0" applyFont="1" applyFill="1" applyBorder="1" applyAlignment="1">
      <alignment horizontal="center" vertical="center" wrapText="1"/>
    </xf>
    <xf numFmtId="0" fontId="6" fillId="6" borderId="56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24" fillId="11" borderId="57" xfId="0" applyFont="1" applyFill="1" applyBorder="1" applyAlignment="1">
      <alignment horizontal="center" vertical="center"/>
    </xf>
    <xf numFmtId="0" fontId="24" fillId="11" borderId="58" xfId="0" applyFont="1" applyFill="1" applyBorder="1" applyAlignment="1">
      <alignment horizontal="center" vertical="center"/>
    </xf>
    <xf numFmtId="0" fontId="24" fillId="11" borderId="59" xfId="0" applyFont="1" applyFill="1" applyBorder="1" applyAlignment="1">
      <alignment horizontal="center" vertical="center"/>
    </xf>
    <xf numFmtId="0" fontId="18" fillId="4" borderId="0" xfId="0" applyFont="1" applyFill="1" applyAlignment="1">
      <alignment horizontal="center" vertical="center" shrinkToFit="1"/>
    </xf>
    <xf numFmtId="0" fontId="13" fillId="5" borderId="0" xfId="0" applyFont="1" applyFill="1" applyAlignment="1">
      <alignment horizontal="center" vertical="center" shrinkToFit="1"/>
    </xf>
    <xf numFmtId="0" fontId="19" fillId="6" borderId="0" xfId="0" applyFont="1" applyFill="1" applyAlignment="1">
      <alignment horizontal="center" vertical="center" shrinkToFit="1"/>
    </xf>
    <xf numFmtId="0" fontId="28" fillId="10" borderId="0" xfId="0" applyFont="1" applyFill="1" applyAlignment="1">
      <alignment horizontal="center" vertical="center" shrinkToFit="1"/>
    </xf>
    <xf numFmtId="0" fontId="23" fillId="8" borderId="60" xfId="0" applyFont="1" applyFill="1" applyBorder="1" applyAlignment="1">
      <alignment horizontal="center" vertical="center" shrinkToFit="1"/>
    </xf>
    <xf numFmtId="0" fontId="23" fillId="8" borderId="61" xfId="0" applyFont="1" applyFill="1" applyBorder="1" applyAlignment="1">
      <alignment horizontal="center" vertical="center" shrinkToFit="1"/>
    </xf>
    <xf numFmtId="0" fontId="21" fillId="8" borderId="60" xfId="0" applyFont="1" applyFill="1" applyBorder="1" applyAlignment="1">
      <alignment horizontal="center" vertical="center" shrinkToFit="1"/>
    </xf>
    <xf numFmtId="0" fontId="21" fillId="8" borderId="61" xfId="0" applyFont="1" applyFill="1" applyBorder="1" applyAlignment="1">
      <alignment horizontal="center" vertical="center" shrinkToFit="1"/>
    </xf>
    <xf numFmtId="0" fontId="22" fillId="8" borderId="60" xfId="0" applyFont="1" applyFill="1" applyBorder="1" applyAlignment="1">
      <alignment horizontal="center" vertical="center" shrinkToFit="1"/>
    </xf>
    <xf numFmtId="0" fontId="22" fillId="8" borderId="6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8" fillId="8" borderId="0" xfId="0" applyFont="1" applyFill="1" applyAlignment="1">
      <alignment horizontal="center" vertical="center"/>
    </xf>
    <xf numFmtId="0" fontId="6" fillId="2" borderId="9" xfId="0" applyFont="1" applyFill="1" applyBorder="1" applyAlignment="1">
      <alignment horizontal="center"/>
    </xf>
    <xf numFmtId="0" fontId="6" fillId="2" borderId="62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9" fillId="8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" xfId="0" applyBorder="1" applyAlignment="1">
      <alignment horizontal="center"/>
    </xf>
    <xf numFmtId="9" fontId="4" fillId="3" borderId="34" xfId="0" applyNumberFormat="1" applyFont="1" applyFill="1" applyBorder="1" applyAlignment="1">
      <alignment horizontal="center"/>
    </xf>
    <xf numFmtId="9" fontId="4" fillId="3" borderId="3" xfId="0" applyNumberFormat="1" applyFont="1" applyFill="1" applyBorder="1" applyAlignment="1">
      <alignment horizontal="center"/>
    </xf>
    <xf numFmtId="9" fontId="4" fillId="3" borderId="16" xfId="0" applyNumberFormat="1" applyFont="1" applyFill="1" applyBorder="1" applyAlignment="1">
      <alignment horizontal="center"/>
    </xf>
    <xf numFmtId="0" fontId="1" fillId="2" borderId="48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0">
    <dxf>
      <font>
        <color rgb="FFCCFFCC"/>
      </font>
      <border/>
    </dxf>
    <dxf>
      <font>
        <color rgb="FFFFCC99"/>
      </font>
      <border/>
    </dxf>
    <dxf>
      <font>
        <color rgb="FFFFFFFF"/>
      </font>
      <border/>
    </dxf>
    <dxf>
      <font>
        <color rgb="FF33CCCC"/>
      </font>
      <border/>
    </dxf>
    <dxf>
      <font>
        <color rgb="FFFFFF00"/>
      </font>
      <border/>
    </dxf>
    <dxf>
      <font>
        <b/>
        <i/>
        <color rgb="FFFF0000"/>
      </font>
      <fill>
        <patternFill>
          <bgColor rgb="FFFFFF00"/>
        </patternFill>
      </fill>
      <border/>
    </dxf>
    <dxf>
      <font>
        <color rgb="FF00FFFF"/>
      </font>
      <border/>
    </dxf>
    <dxf>
      <font>
        <color rgb="FF00FF00"/>
      </font>
      <border/>
    </dxf>
    <dxf>
      <font>
        <color rgb="FFFFCC00"/>
      </font>
      <border/>
    </dxf>
    <dxf>
      <font>
        <color rgb="FFFF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Nombre de participants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Statistiques!$E$152</c:f>
              <c:strCache>
                <c:ptCount val="1"/>
                <c:pt idx="0">
                  <c:v>Garçons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Statistiques!$B$153:$D$153</c:f>
              <c:strCache>
                <c:ptCount val="1"/>
                <c:pt idx="0">
                  <c:v>Nombre d'inscrits</c:v>
                </c:pt>
              </c:strCache>
            </c:strRef>
          </c:cat>
          <c:val>
            <c:numRef>
              <c:f>Statistiques!$E$153</c:f>
              <c:numCache>
                <c:ptCount val="1"/>
                <c:pt idx="0">
                  <c:v>38</c:v>
                </c:pt>
              </c:numCache>
            </c:numRef>
          </c:val>
        </c:ser>
        <c:ser>
          <c:idx val="3"/>
          <c:order val="1"/>
          <c:tx>
            <c:strRef>
              <c:f>Statistiques!$F$152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Statistiques!$B$153:$D$153</c:f>
              <c:strCache>
                <c:ptCount val="1"/>
                <c:pt idx="0">
                  <c:v>Nombre d'inscrits</c:v>
                </c:pt>
              </c:strCache>
            </c:strRef>
          </c:cat>
          <c:val>
            <c:numRef>
              <c:f>Statistiques!$F$153</c:f>
            </c:numRef>
          </c:val>
        </c:ser>
        <c:ser>
          <c:idx val="1"/>
          <c:order val="2"/>
          <c:tx>
            <c:strRef>
              <c:f>Statistiques!$G$152</c:f>
              <c:strCache>
                <c:ptCount val="1"/>
                <c:pt idx="0">
                  <c:v>Filles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Statistiques!$B$153:$D$153</c:f>
              <c:strCache>
                <c:ptCount val="1"/>
                <c:pt idx="0">
                  <c:v>Nombre d'inscrits</c:v>
                </c:pt>
              </c:strCache>
            </c:strRef>
          </c:cat>
          <c:val>
            <c:numRef>
              <c:f>Statistiques!$G$153</c:f>
              <c:numCache>
                <c:ptCount val="1"/>
                <c:pt idx="0">
                  <c:v>16</c:v>
                </c:pt>
              </c:numCache>
            </c:numRef>
          </c:val>
        </c:ser>
        <c:ser>
          <c:idx val="2"/>
          <c:order val="3"/>
          <c:tx>
            <c:strRef>
              <c:f>Statistiques!$H$152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60000" anchor="ctr"/>
              <a:lstStyle/>
              <a:p>
                <a:pPr algn="ctr">
                  <a:defRPr lang="en-US" cap="none" sz="10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Statistiques!$B$153:$D$153</c:f>
              <c:strCache>
                <c:ptCount val="1"/>
                <c:pt idx="0">
                  <c:v>Nombre d'inscrits</c:v>
                </c:pt>
              </c:strCache>
            </c:strRef>
          </c:cat>
          <c:val>
            <c:numRef>
              <c:f>Statistiques!$H$153</c:f>
              <c:numCache>
                <c:ptCount val="1"/>
                <c:pt idx="0">
                  <c:v>54</c:v>
                </c:pt>
              </c:numCache>
            </c:numRef>
          </c:val>
        </c:ser>
        <c:gapWidth val="0"/>
        <c:axId val="8235679"/>
        <c:axId val="7012248"/>
      </c:barChart>
      <c:catAx>
        <c:axId val="8235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Répartition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7012248"/>
        <c:crosses val="autoZero"/>
        <c:auto val="1"/>
        <c:lblOffset val="100"/>
        <c:noMultiLvlLbl val="0"/>
      </c:catAx>
      <c:valAx>
        <c:axId val="70122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82356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Statistiques!$J$152:$Q$152</c:f>
              <c:strCache>
                <c:ptCount val="8"/>
                <c:pt idx="0">
                  <c:v>Moins de 9 ans</c:v>
                </c:pt>
                <c:pt idx="1">
                  <c:v>9 ans</c:v>
                </c:pt>
                <c:pt idx="2">
                  <c:v>10 ans</c:v>
                </c:pt>
                <c:pt idx="3">
                  <c:v>11 ans</c:v>
                </c:pt>
                <c:pt idx="4">
                  <c:v>12 ans</c:v>
                </c:pt>
                <c:pt idx="5">
                  <c:v>13 ans</c:v>
                </c:pt>
                <c:pt idx="6">
                  <c:v>14 ans</c:v>
                </c:pt>
                <c:pt idx="7">
                  <c:v>Plus de 14 ans</c:v>
                </c:pt>
              </c:strCache>
            </c:strRef>
          </c:cat>
          <c:val>
            <c:numRef>
              <c:f>Statistiques!$J$154:$Q$154</c:f>
              <c:numCache>
                <c:ptCount val="8"/>
                <c:pt idx="0">
                  <c:v>0.09302325581395349</c:v>
                </c:pt>
                <c:pt idx="1">
                  <c:v>0.23255813953488372</c:v>
                </c:pt>
                <c:pt idx="2">
                  <c:v>0.23255813953488372</c:v>
                </c:pt>
                <c:pt idx="3">
                  <c:v>0.2558139534883721</c:v>
                </c:pt>
                <c:pt idx="4">
                  <c:v>0.11627906976744186</c:v>
                </c:pt>
                <c:pt idx="5">
                  <c:v>0.06976744186046512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"/>
        <c:axId val="63110233"/>
        <c:axId val="31121186"/>
      </c:barChart>
      <c:catAx>
        <c:axId val="63110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1121186"/>
        <c:crosses val="autoZero"/>
        <c:auto val="1"/>
        <c:lblOffset val="100"/>
        <c:noMultiLvlLbl val="0"/>
      </c:catAx>
      <c:valAx>
        <c:axId val="31121186"/>
        <c:scaling>
          <c:orientation val="minMax"/>
        </c:scaling>
        <c:axPos val="l"/>
        <c:delete val="1"/>
        <c:majorTickMark val="out"/>
        <c:minorTickMark val="none"/>
        <c:tickLblPos val="nextTo"/>
        <c:crossAx val="631102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Statistiques!$J$2:$AG$3</c:f>
              <c:multiLvlStrCache>
                <c:ptCount val="24"/>
                <c:lvl>
                  <c:pt idx="0">
                    <c:v>Garçons</c:v>
                  </c:pt>
                  <c:pt idx="1">
                    <c:v>Filles</c:v>
                  </c:pt>
                  <c:pt idx="2">
                    <c:v>Total</c:v>
                  </c:pt>
                  <c:pt idx="3">
                    <c:v>Garçons</c:v>
                  </c:pt>
                  <c:pt idx="4">
                    <c:v>Filles</c:v>
                  </c:pt>
                  <c:pt idx="5">
                    <c:v>Total</c:v>
                  </c:pt>
                  <c:pt idx="6">
                    <c:v>Garçons</c:v>
                  </c:pt>
                  <c:pt idx="7">
                    <c:v>Filles</c:v>
                  </c:pt>
                  <c:pt idx="8">
                    <c:v>Total</c:v>
                  </c:pt>
                  <c:pt idx="9">
                    <c:v>Garçons</c:v>
                  </c:pt>
                  <c:pt idx="10">
                    <c:v>Filles</c:v>
                  </c:pt>
                  <c:pt idx="11">
                    <c:v>Total</c:v>
                  </c:pt>
                  <c:pt idx="12">
                    <c:v>Garçons</c:v>
                  </c:pt>
                  <c:pt idx="13">
                    <c:v>Filles</c:v>
                  </c:pt>
                  <c:pt idx="14">
                    <c:v>Total</c:v>
                  </c:pt>
                  <c:pt idx="15">
                    <c:v>Garçons</c:v>
                  </c:pt>
                  <c:pt idx="16">
                    <c:v>Filles</c:v>
                  </c:pt>
                  <c:pt idx="17">
                    <c:v>Total</c:v>
                  </c:pt>
                  <c:pt idx="18">
                    <c:v>Garçons</c:v>
                  </c:pt>
                  <c:pt idx="19">
                    <c:v>Filles</c:v>
                  </c:pt>
                  <c:pt idx="20">
                    <c:v>Total</c:v>
                  </c:pt>
                  <c:pt idx="21">
                    <c:v>Garçons</c:v>
                  </c:pt>
                  <c:pt idx="22">
                    <c:v>Filles</c:v>
                  </c:pt>
                  <c:pt idx="23">
                    <c:v>Total</c:v>
                  </c:pt>
                </c:lvl>
                <c:lvl>
                  <c:pt idx="0">
                    <c:v>Moins de 9 ans</c:v>
                  </c:pt>
                  <c:pt idx="3">
                    <c:v>9 ans</c:v>
                  </c:pt>
                  <c:pt idx="6">
                    <c:v>10 ans</c:v>
                  </c:pt>
                  <c:pt idx="9">
                    <c:v>11 ans</c:v>
                  </c:pt>
                  <c:pt idx="12">
                    <c:v>12 ans</c:v>
                  </c:pt>
                  <c:pt idx="15">
                    <c:v>13 ans</c:v>
                  </c:pt>
                  <c:pt idx="18">
                    <c:v>14 ans</c:v>
                  </c:pt>
                  <c:pt idx="21">
                    <c:v>Plus de 14 ans</c:v>
                  </c:pt>
                </c:lvl>
              </c:multiLvlStrCache>
            </c:multiLvlStrRef>
          </c:cat>
          <c:val>
            <c:numRef>
              <c:f>Statistiques!$J$4:$AG$4</c:f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Statistiques!$J$2:$AG$3</c:f>
              <c:multiLvlStrCache>
                <c:ptCount val="24"/>
                <c:lvl>
                  <c:pt idx="0">
                    <c:v>Garçons</c:v>
                  </c:pt>
                  <c:pt idx="1">
                    <c:v>Filles</c:v>
                  </c:pt>
                  <c:pt idx="2">
                    <c:v>Total</c:v>
                  </c:pt>
                  <c:pt idx="3">
                    <c:v>Garçons</c:v>
                  </c:pt>
                  <c:pt idx="4">
                    <c:v>Filles</c:v>
                  </c:pt>
                  <c:pt idx="5">
                    <c:v>Total</c:v>
                  </c:pt>
                  <c:pt idx="6">
                    <c:v>Garçons</c:v>
                  </c:pt>
                  <c:pt idx="7">
                    <c:v>Filles</c:v>
                  </c:pt>
                  <c:pt idx="8">
                    <c:v>Total</c:v>
                  </c:pt>
                  <c:pt idx="9">
                    <c:v>Garçons</c:v>
                  </c:pt>
                  <c:pt idx="10">
                    <c:v>Filles</c:v>
                  </c:pt>
                  <c:pt idx="11">
                    <c:v>Total</c:v>
                  </c:pt>
                  <c:pt idx="12">
                    <c:v>Garçons</c:v>
                  </c:pt>
                  <c:pt idx="13">
                    <c:v>Filles</c:v>
                  </c:pt>
                  <c:pt idx="14">
                    <c:v>Total</c:v>
                  </c:pt>
                  <c:pt idx="15">
                    <c:v>Garçons</c:v>
                  </c:pt>
                  <c:pt idx="16">
                    <c:v>Filles</c:v>
                  </c:pt>
                  <c:pt idx="17">
                    <c:v>Total</c:v>
                  </c:pt>
                  <c:pt idx="18">
                    <c:v>Garçons</c:v>
                  </c:pt>
                  <c:pt idx="19">
                    <c:v>Filles</c:v>
                  </c:pt>
                  <c:pt idx="20">
                    <c:v>Total</c:v>
                  </c:pt>
                  <c:pt idx="21">
                    <c:v>Garçons</c:v>
                  </c:pt>
                  <c:pt idx="22">
                    <c:v>Filles</c:v>
                  </c:pt>
                  <c:pt idx="23">
                    <c:v>Total</c:v>
                  </c:pt>
                </c:lvl>
                <c:lvl>
                  <c:pt idx="0">
                    <c:v>Moins de 9 ans</c:v>
                  </c:pt>
                  <c:pt idx="3">
                    <c:v>9 ans</c:v>
                  </c:pt>
                  <c:pt idx="6">
                    <c:v>10 ans</c:v>
                  </c:pt>
                  <c:pt idx="9">
                    <c:v>11 ans</c:v>
                  </c:pt>
                  <c:pt idx="12">
                    <c:v>12 ans</c:v>
                  </c:pt>
                  <c:pt idx="15">
                    <c:v>13 ans</c:v>
                  </c:pt>
                  <c:pt idx="18">
                    <c:v>14 ans</c:v>
                  </c:pt>
                  <c:pt idx="21">
                    <c:v>Plus de 14 ans</c:v>
                  </c:pt>
                </c:lvl>
              </c:multiLvlStrCache>
            </c:multiLvlStrRef>
          </c:cat>
          <c:val>
            <c:numRef>
              <c:f>Statistiques!$J$5:$AG$5</c:f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Statistiques!$J$2:$AG$3</c:f>
              <c:multiLvlStrCache>
                <c:ptCount val="24"/>
                <c:lvl>
                  <c:pt idx="0">
                    <c:v>Garçons</c:v>
                  </c:pt>
                  <c:pt idx="1">
                    <c:v>Filles</c:v>
                  </c:pt>
                  <c:pt idx="2">
                    <c:v>Total</c:v>
                  </c:pt>
                  <c:pt idx="3">
                    <c:v>Garçons</c:v>
                  </c:pt>
                  <c:pt idx="4">
                    <c:v>Filles</c:v>
                  </c:pt>
                  <c:pt idx="5">
                    <c:v>Total</c:v>
                  </c:pt>
                  <c:pt idx="6">
                    <c:v>Garçons</c:v>
                  </c:pt>
                  <c:pt idx="7">
                    <c:v>Filles</c:v>
                  </c:pt>
                  <c:pt idx="8">
                    <c:v>Total</c:v>
                  </c:pt>
                  <c:pt idx="9">
                    <c:v>Garçons</c:v>
                  </c:pt>
                  <c:pt idx="10">
                    <c:v>Filles</c:v>
                  </c:pt>
                  <c:pt idx="11">
                    <c:v>Total</c:v>
                  </c:pt>
                  <c:pt idx="12">
                    <c:v>Garçons</c:v>
                  </c:pt>
                  <c:pt idx="13">
                    <c:v>Filles</c:v>
                  </c:pt>
                  <c:pt idx="14">
                    <c:v>Total</c:v>
                  </c:pt>
                  <c:pt idx="15">
                    <c:v>Garçons</c:v>
                  </c:pt>
                  <c:pt idx="16">
                    <c:v>Filles</c:v>
                  </c:pt>
                  <c:pt idx="17">
                    <c:v>Total</c:v>
                  </c:pt>
                  <c:pt idx="18">
                    <c:v>Garçons</c:v>
                  </c:pt>
                  <c:pt idx="19">
                    <c:v>Filles</c:v>
                  </c:pt>
                  <c:pt idx="20">
                    <c:v>Total</c:v>
                  </c:pt>
                  <c:pt idx="21">
                    <c:v>Garçons</c:v>
                  </c:pt>
                  <c:pt idx="22">
                    <c:v>Filles</c:v>
                  </c:pt>
                  <c:pt idx="23">
                    <c:v>Total</c:v>
                  </c:pt>
                </c:lvl>
                <c:lvl>
                  <c:pt idx="0">
                    <c:v>Moins de 9 ans</c:v>
                  </c:pt>
                  <c:pt idx="3">
                    <c:v>9 ans</c:v>
                  </c:pt>
                  <c:pt idx="6">
                    <c:v>10 ans</c:v>
                  </c:pt>
                  <c:pt idx="9">
                    <c:v>11 ans</c:v>
                  </c:pt>
                  <c:pt idx="12">
                    <c:v>12 ans</c:v>
                  </c:pt>
                  <c:pt idx="15">
                    <c:v>13 ans</c:v>
                  </c:pt>
                  <c:pt idx="18">
                    <c:v>14 ans</c:v>
                  </c:pt>
                  <c:pt idx="21">
                    <c:v>Plus de 14 ans</c:v>
                  </c:pt>
                </c:lvl>
              </c:multiLvlStrCache>
            </c:multiLvlStrRef>
          </c:cat>
          <c:val>
            <c:numRef>
              <c:f>Statistiques!$J$6:$AG$6</c:f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Statistiques!$J$2:$AG$3</c:f>
              <c:multiLvlStrCache>
                <c:ptCount val="24"/>
                <c:lvl>
                  <c:pt idx="0">
                    <c:v>Garçons</c:v>
                  </c:pt>
                  <c:pt idx="1">
                    <c:v>Filles</c:v>
                  </c:pt>
                  <c:pt idx="2">
                    <c:v>Total</c:v>
                  </c:pt>
                  <c:pt idx="3">
                    <c:v>Garçons</c:v>
                  </c:pt>
                  <c:pt idx="4">
                    <c:v>Filles</c:v>
                  </c:pt>
                  <c:pt idx="5">
                    <c:v>Total</c:v>
                  </c:pt>
                  <c:pt idx="6">
                    <c:v>Garçons</c:v>
                  </c:pt>
                  <c:pt idx="7">
                    <c:v>Filles</c:v>
                  </c:pt>
                  <c:pt idx="8">
                    <c:v>Total</c:v>
                  </c:pt>
                  <c:pt idx="9">
                    <c:v>Garçons</c:v>
                  </c:pt>
                  <c:pt idx="10">
                    <c:v>Filles</c:v>
                  </c:pt>
                  <c:pt idx="11">
                    <c:v>Total</c:v>
                  </c:pt>
                  <c:pt idx="12">
                    <c:v>Garçons</c:v>
                  </c:pt>
                  <c:pt idx="13">
                    <c:v>Filles</c:v>
                  </c:pt>
                  <c:pt idx="14">
                    <c:v>Total</c:v>
                  </c:pt>
                  <c:pt idx="15">
                    <c:v>Garçons</c:v>
                  </c:pt>
                  <c:pt idx="16">
                    <c:v>Filles</c:v>
                  </c:pt>
                  <c:pt idx="17">
                    <c:v>Total</c:v>
                  </c:pt>
                  <c:pt idx="18">
                    <c:v>Garçons</c:v>
                  </c:pt>
                  <c:pt idx="19">
                    <c:v>Filles</c:v>
                  </c:pt>
                  <c:pt idx="20">
                    <c:v>Total</c:v>
                  </c:pt>
                  <c:pt idx="21">
                    <c:v>Garçons</c:v>
                  </c:pt>
                  <c:pt idx="22">
                    <c:v>Filles</c:v>
                  </c:pt>
                  <c:pt idx="23">
                    <c:v>Total</c:v>
                  </c:pt>
                </c:lvl>
                <c:lvl>
                  <c:pt idx="0">
                    <c:v>Moins de 9 ans</c:v>
                  </c:pt>
                  <c:pt idx="3">
                    <c:v>9 ans</c:v>
                  </c:pt>
                  <c:pt idx="6">
                    <c:v>10 ans</c:v>
                  </c:pt>
                  <c:pt idx="9">
                    <c:v>11 ans</c:v>
                  </c:pt>
                  <c:pt idx="12">
                    <c:v>12 ans</c:v>
                  </c:pt>
                  <c:pt idx="15">
                    <c:v>13 ans</c:v>
                  </c:pt>
                  <c:pt idx="18">
                    <c:v>14 ans</c:v>
                  </c:pt>
                  <c:pt idx="21">
                    <c:v>Plus de 14 ans</c:v>
                  </c:pt>
                </c:lvl>
              </c:multiLvlStrCache>
            </c:multiLvlStrRef>
          </c:cat>
          <c:val>
            <c:numRef>
              <c:f>Statistiques!$J$7:$AG$7</c:f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Statistiques!$J$2:$AG$3</c:f>
              <c:multiLvlStrCache>
                <c:ptCount val="24"/>
                <c:lvl>
                  <c:pt idx="0">
                    <c:v>Garçons</c:v>
                  </c:pt>
                  <c:pt idx="1">
                    <c:v>Filles</c:v>
                  </c:pt>
                  <c:pt idx="2">
                    <c:v>Total</c:v>
                  </c:pt>
                  <c:pt idx="3">
                    <c:v>Garçons</c:v>
                  </c:pt>
                  <c:pt idx="4">
                    <c:v>Filles</c:v>
                  </c:pt>
                  <c:pt idx="5">
                    <c:v>Total</c:v>
                  </c:pt>
                  <c:pt idx="6">
                    <c:v>Garçons</c:v>
                  </c:pt>
                  <c:pt idx="7">
                    <c:v>Filles</c:v>
                  </c:pt>
                  <c:pt idx="8">
                    <c:v>Total</c:v>
                  </c:pt>
                  <c:pt idx="9">
                    <c:v>Garçons</c:v>
                  </c:pt>
                  <c:pt idx="10">
                    <c:v>Filles</c:v>
                  </c:pt>
                  <c:pt idx="11">
                    <c:v>Total</c:v>
                  </c:pt>
                  <c:pt idx="12">
                    <c:v>Garçons</c:v>
                  </c:pt>
                  <c:pt idx="13">
                    <c:v>Filles</c:v>
                  </c:pt>
                  <c:pt idx="14">
                    <c:v>Total</c:v>
                  </c:pt>
                  <c:pt idx="15">
                    <c:v>Garçons</c:v>
                  </c:pt>
                  <c:pt idx="16">
                    <c:v>Filles</c:v>
                  </c:pt>
                  <c:pt idx="17">
                    <c:v>Total</c:v>
                  </c:pt>
                  <c:pt idx="18">
                    <c:v>Garçons</c:v>
                  </c:pt>
                  <c:pt idx="19">
                    <c:v>Filles</c:v>
                  </c:pt>
                  <c:pt idx="20">
                    <c:v>Total</c:v>
                  </c:pt>
                  <c:pt idx="21">
                    <c:v>Garçons</c:v>
                  </c:pt>
                  <c:pt idx="22">
                    <c:v>Filles</c:v>
                  </c:pt>
                  <c:pt idx="23">
                    <c:v>Total</c:v>
                  </c:pt>
                </c:lvl>
                <c:lvl>
                  <c:pt idx="0">
                    <c:v>Moins de 9 ans</c:v>
                  </c:pt>
                  <c:pt idx="3">
                    <c:v>9 ans</c:v>
                  </c:pt>
                  <c:pt idx="6">
                    <c:v>10 ans</c:v>
                  </c:pt>
                  <c:pt idx="9">
                    <c:v>11 ans</c:v>
                  </c:pt>
                  <c:pt idx="12">
                    <c:v>12 ans</c:v>
                  </c:pt>
                  <c:pt idx="15">
                    <c:v>13 ans</c:v>
                  </c:pt>
                  <c:pt idx="18">
                    <c:v>14 ans</c:v>
                  </c:pt>
                  <c:pt idx="21">
                    <c:v>Plus de 14 ans</c:v>
                  </c:pt>
                </c:lvl>
              </c:multiLvlStrCache>
            </c:multiLvlStrRef>
          </c:cat>
          <c:val>
            <c:numRef>
              <c:f>Statistiques!$J$8:$AG$8</c:f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Statistiques!$J$2:$AG$3</c:f>
              <c:multiLvlStrCache>
                <c:ptCount val="24"/>
                <c:lvl>
                  <c:pt idx="0">
                    <c:v>Garçons</c:v>
                  </c:pt>
                  <c:pt idx="1">
                    <c:v>Filles</c:v>
                  </c:pt>
                  <c:pt idx="2">
                    <c:v>Total</c:v>
                  </c:pt>
                  <c:pt idx="3">
                    <c:v>Garçons</c:v>
                  </c:pt>
                  <c:pt idx="4">
                    <c:v>Filles</c:v>
                  </c:pt>
                  <c:pt idx="5">
                    <c:v>Total</c:v>
                  </c:pt>
                  <c:pt idx="6">
                    <c:v>Garçons</c:v>
                  </c:pt>
                  <c:pt idx="7">
                    <c:v>Filles</c:v>
                  </c:pt>
                  <c:pt idx="8">
                    <c:v>Total</c:v>
                  </c:pt>
                  <c:pt idx="9">
                    <c:v>Garçons</c:v>
                  </c:pt>
                  <c:pt idx="10">
                    <c:v>Filles</c:v>
                  </c:pt>
                  <c:pt idx="11">
                    <c:v>Total</c:v>
                  </c:pt>
                  <c:pt idx="12">
                    <c:v>Garçons</c:v>
                  </c:pt>
                  <c:pt idx="13">
                    <c:v>Filles</c:v>
                  </c:pt>
                  <c:pt idx="14">
                    <c:v>Total</c:v>
                  </c:pt>
                  <c:pt idx="15">
                    <c:v>Garçons</c:v>
                  </c:pt>
                  <c:pt idx="16">
                    <c:v>Filles</c:v>
                  </c:pt>
                  <c:pt idx="17">
                    <c:v>Total</c:v>
                  </c:pt>
                  <c:pt idx="18">
                    <c:v>Garçons</c:v>
                  </c:pt>
                  <c:pt idx="19">
                    <c:v>Filles</c:v>
                  </c:pt>
                  <c:pt idx="20">
                    <c:v>Total</c:v>
                  </c:pt>
                  <c:pt idx="21">
                    <c:v>Garçons</c:v>
                  </c:pt>
                  <c:pt idx="22">
                    <c:v>Filles</c:v>
                  </c:pt>
                  <c:pt idx="23">
                    <c:v>Total</c:v>
                  </c:pt>
                </c:lvl>
                <c:lvl>
                  <c:pt idx="0">
                    <c:v>Moins de 9 ans</c:v>
                  </c:pt>
                  <c:pt idx="3">
                    <c:v>9 ans</c:v>
                  </c:pt>
                  <c:pt idx="6">
                    <c:v>10 ans</c:v>
                  </c:pt>
                  <c:pt idx="9">
                    <c:v>11 ans</c:v>
                  </c:pt>
                  <c:pt idx="12">
                    <c:v>12 ans</c:v>
                  </c:pt>
                  <c:pt idx="15">
                    <c:v>13 ans</c:v>
                  </c:pt>
                  <c:pt idx="18">
                    <c:v>14 ans</c:v>
                  </c:pt>
                  <c:pt idx="21">
                    <c:v>Plus de 14 ans</c:v>
                  </c:pt>
                </c:lvl>
              </c:multiLvlStrCache>
            </c:multiLvlStrRef>
          </c:cat>
          <c:val>
            <c:numRef>
              <c:f>Statistiques!$J$9:$AG$9</c:f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Statistiques!$J$2:$AG$3</c:f>
              <c:multiLvlStrCache>
                <c:ptCount val="24"/>
                <c:lvl>
                  <c:pt idx="0">
                    <c:v>Garçons</c:v>
                  </c:pt>
                  <c:pt idx="1">
                    <c:v>Filles</c:v>
                  </c:pt>
                  <c:pt idx="2">
                    <c:v>Total</c:v>
                  </c:pt>
                  <c:pt idx="3">
                    <c:v>Garçons</c:v>
                  </c:pt>
                  <c:pt idx="4">
                    <c:v>Filles</c:v>
                  </c:pt>
                  <c:pt idx="5">
                    <c:v>Total</c:v>
                  </c:pt>
                  <c:pt idx="6">
                    <c:v>Garçons</c:v>
                  </c:pt>
                  <c:pt idx="7">
                    <c:v>Filles</c:v>
                  </c:pt>
                  <c:pt idx="8">
                    <c:v>Total</c:v>
                  </c:pt>
                  <c:pt idx="9">
                    <c:v>Garçons</c:v>
                  </c:pt>
                  <c:pt idx="10">
                    <c:v>Filles</c:v>
                  </c:pt>
                  <c:pt idx="11">
                    <c:v>Total</c:v>
                  </c:pt>
                  <c:pt idx="12">
                    <c:v>Garçons</c:v>
                  </c:pt>
                  <c:pt idx="13">
                    <c:v>Filles</c:v>
                  </c:pt>
                  <c:pt idx="14">
                    <c:v>Total</c:v>
                  </c:pt>
                  <c:pt idx="15">
                    <c:v>Garçons</c:v>
                  </c:pt>
                  <c:pt idx="16">
                    <c:v>Filles</c:v>
                  </c:pt>
                  <c:pt idx="17">
                    <c:v>Total</c:v>
                  </c:pt>
                  <c:pt idx="18">
                    <c:v>Garçons</c:v>
                  </c:pt>
                  <c:pt idx="19">
                    <c:v>Filles</c:v>
                  </c:pt>
                  <c:pt idx="20">
                    <c:v>Total</c:v>
                  </c:pt>
                  <c:pt idx="21">
                    <c:v>Garçons</c:v>
                  </c:pt>
                  <c:pt idx="22">
                    <c:v>Filles</c:v>
                  </c:pt>
                  <c:pt idx="23">
                    <c:v>Total</c:v>
                  </c:pt>
                </c:lvl>
                <c:lvl>
                  <c:pt idx="0">
                    <c:v>Moins de 9 ans</c:v>
                  </c:pt>
                  <c:pt idx="3">
                    <c:v>9 ans</c:v>
                  </c:pt>
                  <c:pt idx="6">
                    <c:v>10 ans</c:v>
                  </c:pt>
                  <c:pt idx="9">
                    <c:v>11 ans</c:v>
                  </c:pt>
                  <c:pt idx="12">
                    <c:v>12 ans</c:v>
                  </c:pt>
                  <c:pt idx="15">
                    <c:v>13 ans</c:v>
                  </c:pt>
                  <c:pt idx="18">
                    <c:v>14 ans</c:v>
                  </c:pt>
                  <c:pt idx="21">
                    <c:v>Plus de 14 ans</c:v>
                  </c:pt>
                </c:lvl>
              </c:multiLvlStrCache>
            </c:multiLvlStrRef>
          </c:cat>
          <c:val>
            <c:numRef>
              <c:f>Statistiques!$J$10:$AG$10</c:f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Statistiques!$J$2:$AG$3</c:f>
              <c:multiLvlStrCache>
                <c:ptCount val="24"/>
                <c:lvl>
                  <c:pt idx="0">
                    <c:v>Garçons</c:v>
                  </c:pt>
                  <c:pt idx="1">
                    <c:v>Filles</c:v>
                  </c:pt>
                  <c:pt idx="2">
                    <c:v>Total</c:v>
                  </c:pt>
                  <c:pt idx="3">
                    <c:v>Garçons</c:v>
                  </c:pt>
                  <c:pt idx="4">
                    <c:v>Filles</c:v>
                  </c:pt>
                  <c:pt idx="5">
                    <c:v>Total</c:v>
                  </c:pt>
                  <c:pt idx="6">
                    <c:v>Garçons</c:v>
                  </c:pt>
                  <c:pt idx="7">
                    <c:v>Filles</c:v>
                  </c:pt>
                  <c:pt idx="8">
                    <c:v>Total</c:v>
                  </c:pt>
                  <c:pt idx="9">
                    <c:v>Garçons</c:v>
                  </c:pt>
                  <c:pt idx="10">
                    <c:v>Filles</c:v>
                  </c:pt>
                  <c:pt idx="11">
                    <c:v>Total</c:v>
                  </c:pt>
                  <c:pt idx="12">
                    <c:v>Garçons</c:v>
                  </c:pt>
                  <c:pt idx="13">
                    <c:v>Filles</c:v>
                  </c:pt>
                  <c:pt idx="14">
                    <c:v>Total</c:v>
                  </c:pt>
                  <c:pt idx="15">
                    <c:v>Garçons</c:v>
                  </c:pt>
                  <c:pt idx="16">
                    <c:v>Filles</c:v>
                  </c:pt>
                  <c:pt idx="17">
                    <c:v>Total</c:v>
                  </c:pt>
                  <c:pt idx="18">
                    <c:v>Garçons</c:v>
                  </c:pt>
                  <c:pt idx="19">
                    <c:v>Filles</c:v>
                  </c:pt>
                  <c:pt idx="20">
                    <c:v>Total</c:v>
                  </c:pt>
                  <c:pt idx="21">
                    <c:v>Garçons</c:v>
                  </c:pt>
                  <c:pt idx="22">
                    <c:v>Filles</c:v>
                  </c:pt>
                  <c:pt idx="23">
                    <c:v>Total</c:v>
                  </c:pt>
                </c:lvl>
                <c:lvl>
                  <c:pt idx="0">
                    <c:v>Moins de 9 ans</c:v>
                  </c:pt>
                  <c:pt idx="3">
                    <c:v>9 ans</c:v>
                  </c:pt>
                  <c:pt idx="6">
                    <c:v>10 ans</c:v>
                  </c:pt>
                  <c:pt idx="9">
                    <c:v>11 ans</c:v>
                  </c:pt>
                  <c:pt idx="12">
                    <c:v>12 ans</c:v>
                  </c:pt>
                  <c:pt idx="15">
                    <c:v>13 ans</c:v>
                  </c:pt>
                  <c:pt idx="18">
                    <c:v>14 ans</c:v>
                  </c:pt>
                  <c:pt idx="21">
                    <c:v>Plus de 14 ans</c:v>
                  </c:pt>
                </c:lvl>
              </c:multiLvlStrCache>
            </c:multiLvlStrRef>
          </c:cat>
          <c:val>
            <c:numRef>
              <c:f>Statistiques!$J$11:$AG$11</c:f>
            </c:numRef>
          </c:val>
        </c:ser>
        <c:ser>
          <c:idx val="8"/>
          <c:order val="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Statistiques!$J$2:$AG$3</c:f>
              <c:multiLvlStrCache>
                <c:ptCount val="24"/>
                <c:lvl>
                  <c:pt idx="0">
                    <c:v>Garçons</c:v>
                  </c:pt>
                  <c:pt idx="1">
                    <c:v>Filles</c:v>
                  </c:pt>
                  <c:pt idx="2">
                    <c:v>Total</c:v>
                  </c:pt>
                  <c:pt idx="3">
                    <c:v>Garçons</c:v>
                  </c:pt>
                  <c:pt idx="4">
                    <c:v>Filles</c:v>
                  </c:pt>
                  <c:pt idx="5">
                    <c:v>Total</c:v>
                  </c:pt>
                  <c:pt idx="6">
                    <c:v>Garçons</c:v>
                  </c:pt>
                  <c:pt idx="7">
                    <c:v>Filles</c:v>
                  </c:pt>
                  <c:pt idx="8">
                    <c:v>Total</c:v>
                  </c:pt>
                  <c:pt idx="9">
                    <c:v>Garçons</c:v>
                  </c:pt>
                  <c:pt idx="10">
                    <c:v>Filles</c:v>
                  </c:pt>
                  <c:pt idx="11">
                    <c:v>Total</c:v>
                  </c:pt>
                  <c:pt idx="12">
                    <c:v>Garçons</c:v>
                  </c:pt>
                  <c:pt idx="13">
                    <c:v>Filles</c:v>
                  </c:pt>
                  <c:pt idx="14">
                    <c:v>Total</c:v>
                  </c:pt>
                  <c:pt idx="15">
                    <c:v>Garçons</c:v>
                  </c:pt>
                  <c:pt idx="16">
                    <c:v>Filles</c:v>
                  </c:pt>
                  <c:pt idx="17">
                    <c:v>Total</c:v>
                  </c:pt>
                  <c:pt idx="18">
                    <c:v>Garçons</c:v>
                  </c:pt>
                  <c:pt idx="19">
                    <c:v>Filles</c:v>
                  </c:pt>
                  <c:pt idx="20">
                    <c:v>Total</c:v>
                  </c:pt>
                  <c:pt idx="21">
                    <c:v>Garçons</c:v>
                  </c:pt>
                  <c:pt idx="22">
                    <c:v>Filles</c:v>
                  </c:pt>
                  <c:pt idx="23">
                    <c:v>Total</c:v>
                  </c:pt>
                </c:lvl>
                <c:lvl>
                  <c:pt idx="0">
                    <c:v>Moins de 9 ans</c:v>
                  </c:pt>
                  <c:pt idx="3">
                    <c:v>9 ans</c:v>
                  </c:pt>
                  <c:pt idx="6">
                    <c:v>10 ans</c:v>
                  </c:pt>
                  <c:pt idx="9">
                    <c:v>11 ans</c:v>
                  </c:pt>
                  <c:pt idx="12">
                    <c:v>12 ans</c:v>
                  </c:pt>
                  <c:pt idx="15">
                    <c:v>13 ans</c:v>
                  </c:pt>
                  <c:pt idx="18">
                    <c:v>14 ans</c:v>
                  </c:pt>
                  <c:pt idx="21">
                    <c:v>Plus de 14 ans</c:v>
                  </c:pt>
                </c:lvl>
              </c:multiLvlStrCache>
            </c:multiLvlStrRef>
          </c:cat>
          <c:val>
            <c:numRef>
              <c:f>Statistiques!$J$12:$AG$12</c:f>
            </c:numRef>
          </c:val>
        </c:ser>
        <c:ser>
          <c:idx val="9"/>
          <c:order val="9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Statistiques!$J$2:$AG$3</c:f>
              <c:multiLvlStrCache>
                <c:ptCount val="24"/>
                <c:lvl>
                  <c:pt idx="0">
                    <c:v>Garçons</c:v>
                  </c:pt>
                  <c:pt idx="1">
                    <c:v>Filles</c:v>
                  </c:pt>
                  <c:pt idx="2">
                    <c:v>Total</c:v>
                  </c:pt>
                  <c:pt idx="3">
                    <c:v>Garçons</c:v>
                  </c:pt>
                  <c:pt idx="4">
                    <c:v>Filles</c:v>
                  </c:pt>
                  <c:pt idx="5">
                    <c:v>Total</c:v>
                  </c:pt>
                  <c:pt idx="6">
                    <c:v>Garçons</c:v>
                  </c:pt>
                  <c:pt idx="7">
                    <c:v>Filles</c:v>
                  </c:pt>
                  <c:pt idx="8">
                    <c:v>Total</c:v>
                  </c:pt>
                  <c:pt idx="9">
                    <c:v>Garçons</c:v>
                  </c:pt>
                  <c:pt idx="10">
                    <c:v>Filles</c:v>
                  </c:pt>
                  <c:pt idx="11">
                    <c:v>Total</c:v>
                  </c:pt>
                  <c:pt idx="12">
                    <c:v>Garçons</c:v>
                  </c:pt>
                  <c:pt idx="13">
                    <c:v>Filles</c:v>
                  </c:pt>
                  <c:pt idx="14">
                    <c:v>Total</c:v>
                  </c:pt>
                  <c:pt idx="15">
                    <c:v>Garçons</c:v>
                  </c:pt>
                  <c:pt idx="16">
                    <c:v>Filles</c:v>
                  </c:pt>
                  <c:pt idx="17">
                    <c:v>Total</c:v>
                  </c:pt>
                  <c:pt idx="18">
                    <c:v>Garçons</c:v>
                  </c:pt>
                  <c:pt idx="19">
                    <c:v>Filles</c:v>
                  </c:pt>
                  <c:pt idx="20">
                    <c:v>Total</c:v>
                  </c:pt>
                  <c:pt idx="21">
                    <c:v>Garçons</c:v>
                  </c:pt>
                  <c:pt idx="22">
                    <c:v>Filles</c:v>
                  </c:pt>
                  <c:pt idx="23">
                    <c:v>Total</c:v>
                  </c:pt>
                </c:lvl>
                <c:lvl>
                  <c:pt idx="0">
                    <c:v>Moins de 9 ans</c:v>
                  </c:pt>
                  <c:pt idx="3">
                    <c:v>9 ans</c:v>
                  </c:pt>
                  <c:pt idx="6">
                    <c:v>10 ans</c:v>
                  </c:pt>
                  <c:pt idx="9">
                    <c:v>11 ans</c:v>
                  </c:pt>
                  <c:pt idx="12">
                    <c:v>12 ans</c:v>
                  </c:pt>
                  <c:pt idx="15">
                    <c:v>13 ans</c:v>
                  </c:pt>
                  <c:pt idx="18">
                    <c:v>14 ans</c:v>
                  </c:pt>
                  <c:pt idx="21">
                    <c:v>Plus de 14 ans</c:v>
                  </c:pt>
                </c:lvl>
              </c:multiLvlStrCache>
            </c:multiLvlStrRef>
          </c:cat>
          <c:val>
            <c:numRef>
              <c:f>Statistiques!$J$13:$AG$13</c:f>
            </c:numRef>
          </c:val>
        </c:ser>
        <c:ser>
          <c:idx val="10"/>
          <c:order val="1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Statistiques!$J$2:$AG$3</c:f>
              <c:multiLvlStrCache>
                <c:ptCount val="24"/>
                <c:lvl>
                  <c:pt idx="0">
                    <c:v>Garçons</c:v>
                  </c:pt>
                  <c:pt idx="1">
                    <c:v>Filles</c:v>
                  </c:pt>
                  <c:pt idx="2">
                    <c:v>Total</c:v>
                  </c:pt>
                  <c:pt idx="3">
                    <c:v>Garçons</c:v>
                  </c:pt>
                  <c:pt idx="4">
                    <c:v>Filles</c:v>
                  </c:pt>
                  <c:pt idx="5">
                    <c:v>Total</c:v>
                  </c:pt>
                  <c:pt idx="6">
                    <c:v>Garçons</c:v>
                  </c:pt>
                  <c:pt idx="7">
                    <c:v>Filles</c:v>
                  </c:pt>
                  <c:pt idx="8">
                    <c:v>Total</c:v>
                  </c:pt>
                  <c:pt idx="9">
                    <c:v>Garçons</c:v>
                  </c:pt>
                  <c:pt idx="10">
                    <c:v>Filles</c:v>
                  </c:pt>
                  <c:pt idx="11">
                    <c:v>Total</c:v>
                  </c:pt>
                  <c:pt idx="12">
                    <c:v>Garçons</c:v>
                  </c:pt>
                  <c:pt idx="13">
                    <c:v>Filles</c:v>
                  </c:pt>
                  <c:pt idx="14">
                    <c:v>Total</c:v>
                  </c:pt>
                  <c:pt idx="15">
                    <c:v>Garçons</c:v>
                  </c:pt>
                  <c:pt idx="16">
                    <c:v>Filles</c:v>
                  </c:pt>
                  <c:pt idx="17">
                    <c:v>Total</c:v>
                  </c:pt>
                  <c:pt idx="18">
                    <c:v>Garçons</c:v>
                  </c:pt>
                  <c:pt idx="19">
                    <c:v>Filles</c:v>
                  </c:pt>
                  <c:pt idx="20">
                    <c:v>Total</c:v>
                  </c:pt>
                  <c:pt idx="21">
                    <c:v>Garçons</c:v>
                  </c:pt>
                  <c:pt idx="22">
                    <c:v>Filles</c:v>
                  </c:pt>
                  <c:pt idx="23">
                    <c:v>Total</c:v>
                  </c:pt>
                </c:lvl>
                <c:lvl>
                  <c:pt idx="0">
                    <c:v>Moins de 9 ans</c:v>
                  </c:pt>
                  <c:pt idx="3">
                    <c:v>9 ans</c:v>
                  </c:pt>
                  <c:pt idx="6">
                    <c:v>10 ans</c:v>
                  </c:pt>
                  <c:pt idx="9">
                    <c:v>11 ans</c:v>
                  </c:pt>
                  <c:pt idx="12">
                    <c:v>12 ans</c:v>
                  </c:pt>
                  <c:pt idx="15">
                    <c:v>13 ans</c:v>
                  </c:pt>
                  <c:pt idx="18">
                    <c:v>14 ans</c:v>
                  </c:pt>
                  <c:pt idx="21">
                    <c:v>Plus de 14 ans</c:v>
                  </c:pt>
                </c:lvl>
              </c:multiLvlStrCache>
            </c:multiLvlStrRef>
          </c:cat>
          <c:val>
            <c:numRef>
              <c:f>Statistiques!$J$14:$AG$14</c:f>
            </c:numRef>
          </c:val>
        </c:ser>
        <c:ser>
          <c:idx val="11"/>
          <c:order val="1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Statistiques!$J$2:$AG$3</c:f>
              <c:multiLvlStrCache>
                <c:ptCount val="24"/>
                <c:lvl>
                  <c:pt idx="0">
                    <c:v>Garçons</c:v>
                  </c:pt>
                  <c:pt idx="1">
                    <c:v>Filles</c:v>
                  </c:pt>
                  <c:pt idx="2">
                    <c:v>Total</c:v>
                  </c:pt>
                  <c:pt idx="3">
                    <c:v>Garçons</c:v>
                  </c:pt>
                  <c:pt idx="4">
                    <c:v>Filles</c:v>
                  </c:pt>
                  <c:pt idx="5">
                    <c:v>Total</c:v>
                  </c:pt>
                  <c:pt idx="6">
                    <c:v>Garçons</c:v>
                  </c:pt>
                  <c:pt idx="7">
                    <c:v>Filles</c:v>
                  </c:pt>
                  <c:pt idx="8">
                    <c:v>Total</c:v>
                  </c:pt>
                  <c:pt idx="9">
                    <c:v>Garçons</c:v>
                  </c:pt>
                  <c:pt idx="10">
                    <c:v>Filles</c:v>
                  </c:pt>
                  <c:pt idx="11">
                    <c:v>Total</c:v>
                  </c:pt>
                  <c:pt idx="12">
                    <c:v>Garçons</c:v>
                  </c:pt>
                  <c:pt idx="13">
                    <c:v>Filles</c:v>
                  </c:pt>
                  <c:pt idx="14">
                    <c:v>Total</c:v>
                  </c:pt>
                  <c:pt idx="15">
                    <c:v>Garçons</c:v>
                  </c:pt>
                  <c:pt idx="16">
                    <c:v>Filles</c:v>
                  </c:pt>
                  <c:pt idx="17">
                    <c:v>Total</c:v>
                  </c:pt>
                  <c:pt idx="18">
                    <c:v>Garçons</c:v>
                  </c:pt>
                  <c:pt idx="19">
                    <c:v>Filles</c:v>
                  </c:pt>
                  <c:pt idx="20">
                    <c:v>Total</c:v>
                  </c:pt>
                  <c:pt idx="21">
                    <c:v>Garçons</c:v>
                  </c:pt>
                  <c:pt idx="22">
                    <c:v>Filles</c:v>
                  </c:pt>
                  <c:pt idx="23">
                    <c:v>Total</c:v>
                  </c:pt>
                </c:lvl>
                <c:lvl>
                  <c:pt idx="0">
                    <c:v>Moins de 9 ans</c:v>
                  </c:pt>
                  <c:pt idx="3">
                    <c:v>9 ans</c:v>
                  </c:pt>
                  <c:pt idx="6">
                    <c:v>10 ans</c:v>
                  </c:pt>
                  <c:pt idx="9">
                    <c:v>11 ans</c:v>
                  </c:pt>
                  <c:pt idx="12">
                    <c:v>12 ans</c:v>
                  </c:pt>
                  <c:pt idx="15">
                    <c:v>13 ans</c:v>
                  </c:pt>
                  <c:pt idx="18">
                    <c:v>14 ans</c:v>
                  </c:pt>
                  <c:pt idx="21">
                    <c:v>Plus de 14 ans</c:v>
                  </c:pt>
                </c:lvl>
              </c:multiLvlStrCache>
            </c:multiLvlStrRef>
          </c:cat>
          <c:val>
            <c:numRef>
              <c:f>Statistiques!$J$15:$AG$15</c:f>
            </c:numRef>
          </c:val>
        </c:ser>
        <c:ser>
          <c:idx val="12"/>
          <c:order val="1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Statistiques!$J$2:$AG$3</c:f>
              <c:multiLvlStrCache>
                <c:ptCount val="24"/>
                <c:lvl>
                  <c:pt idx="0">
                    <c:v>Garçons</c:v>
                  </c:pt>
                  <c:pt idx="1">
                    <c:v>Filles</c:v>
                  </c:pt>
                  <c:pt idx="2">
                    <c:v>Total</c:v>
                  </c:pt>
                  <c:pt idx="3">
                    <c:v>Garçons</c:v>
                  </c:pt>
                  <c:pt idx="4">
                    <c:v>Filles</c:v>
                  </c:pt>
                  <c:pt idx="5">
                    <c:v>Total</c:v>
                  </c:pt>
                  <c:pt idx="6">
                    <c:v>Garçons</c:v>
                  </c:pt>
                  <c:pt idx="7">
                    <c:v>Filles</c:v>
                  </c:pt>
                  <c:pt idx="8">
                    <c:v>Total</c:v>
                  </c:pt>
                  <c:pt idx="9">
                    <c:v>Garçons</c:v>
                  </c:pt>
                  <c:pt idx="10">
                    <c:v>Filles</c:v>
                  </c:pt>
                  <c:pt idx="11">
                    <c:v>Total</c:v>
                  </c:pt>
                  <c:pt idx="12">
                    <c:v>Garçons</c:v>
                  </c:pt>
                  <c:pt idx="13">
                    <c:v>Filles</c:v>
                  </c:pt>
                  <c:pt idx="14">
                    <c:v>Total</c:v>
                  </c:pt>
                  <c:pt idx="15">
                    <c:v>Garçons</c:v>
                  </c:pt>
                  <c:pt idx="16">
                    <c:v>Filles</c:v>
                  </c:pt>
                  <c:pt idx="17">
                    <c:v>Total</c:v>
                  </c:pt>
                  <c:pt idx="18">
                    <c:v>Garçons</c:v>
                  </c:pt>
                  <c:pt idx="19">
                    <c:v>Filles</c:v>
                  </c:pt>
                  <c:pt idx="20">
                    <c:v>Total</c:v>
                  </c:pt>
                  <c:pt idx="21">
                    <c:v>Garçons</c:v>
                  </c:pt>
                  <c:pt idx="22">
                    <c:v>Filles</c:v>
                  </c:pt>
                  <c:pt idx="23">
                    <c:v>Total</c:v>
                  </c:pt>
                </c:lvl>
                <c:lvl>
                  <c:pt idx="0">
                    <c:v>Moins de 9 ans</c:v>
                  </c:pt>
                  <c:pt idx="3">
                    <c:v>9 ans</c:v>
                  </c:pt>
                  <c:pt idx="6">
                    <c:v>10 ans</c:v>
                  </c:pt>
                  <c:pt idx="9">
                    <c:v>11 ans</c:v>
                  </c:pt>
                  <c:pt idx="12">
                    <c:v>12 ans</c:v>
                  </c:pt>
                  <c:pt idx="15">
                    <c:v>13 ans</c:v>
                  </c:pt>
                  <c:pt idx="18">
                    <c:v>14 ans</c:v>
                  </c:pt>
                  <c:pt idx="21">
                    <c:v>Plus de 14 ans</c:v>
                  </c:pt>
                </c:lvl>
              </c:multiLvlStrCache>
            </c:multiLvlStrRef>
          </c:cat>
          <c:val>
            <c:numRef>
              <c:f>Statistiques!$J$16:$AG$16</c:f>
            </c:numRef>
          </c:val>
        </c:ser>
        <c:ser>
          <c:idx val="13"/>
          <c:order val="1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Statistiques!$J$2:$AG$3</c:f>
              <c:multiLvlStrCache>
                <c:ptCount val="24"/>
                <c:lvl>
                  <c:pt idx="0">
                    <c:v>Garçons</c:v>
                  </c:pt>
                  <c:pt idx="1">
                    <c:v>Filles</c:v>
                  </c:pt>
                  <c:pt idx="2">
                    <c:v>Total</c:v>
                  </c:pt>
                  <c:pt idx="3">
                    <c:v>Garçons</c:v>
                  </c:pt>
                  <c:pt idx="4">
                    <c:v>Filles</c:v>
                  </c:pt>
                  <c:pt idx="5">
                    <c:v>Total</c:v>
                  </c:pt>
                  <c:pt idx="6">
                    <c:v>Garçons</c:v>
                  </c:pt>
                  <c:pt idx="7">
                    <c:v>Filles</c:v>
                  </c:pt>
                  <c:pt idx="8">
                    <c:v>Total</c:v>
                  </c:pt>
                  <c:pt idx="9">
                    <c:v>Garçons</c:v>
                  </c:pt>
                  <c:pt idx="10">
                    <c:v>Filles</c:v>
                  </c:pt>
                  <c:pt idx="11">
                    <c:v>Total</c:v>
                  </c:pt>
                  <c:pt idx="12">
                    <c:v>Garçons</c:v>
                  </c:pt>
                  <c:pt idx="13">
                    <c:v>Filles</c:v>
                  </c:pt>
                  <c:pt idx="14">
                    <c:v>Total</c:v>
                  </c:pt>
                  <c:pt idx="15">
                    <c:v>Garçons</c:v>
                  </c:pt>
                  <c:pt idx="16">
                    <c:v>Filles</c:v>
                  </c:pt>
                  <c:pt idx="17">
                    <c:v>Total</c:v>
                  </c:pt>
                  <c:pt idx="18">
                    <c:v>Garçons</c:v>
                  </c:pt>
                  <c:pt idx="19">
                    <c:v>Filles</c:v>
                  </c:pt>
                  <c:pt idx="20">
                    <c:v>Total</c:v>
                  </c:pt>
                  <c:pt idx="21">
                    <c:v>Garçons</c:v>
                  </c:pt>
                  <c:pt idx="22">
                    <c:v>Filles</c:v>
                  </c:pt>
                  <c:pt idx="23">
                    <c:v>Total</c:v>
                  </c:pt>
                </c:lvl>
                <c:lvl>
                  <c:pt idx="0">
                    <c:v>Moins de 9 ans</c:v>
                  </c:pt>
                  <c:pt idx="3">
                    <c:v>9 ans</c:v>
                  </c:pt>
                  <c:pt idx="6">
                    <c:v>10 ans</c:v>
                  </c:pt>
                  <c:pt idx="9">
                    <c:v>11 ans</c:v>
                  </c:pt>
                  <c:pt idx="12">
                    <c:v>12 ans</c:v>
                  </c:pt>
                  <c:pt idx="15">
                    <c:v>13 ans</c:v>
                  </c:pt>
                  <c:pt idx="18">
                    <c:v>14 ans</c:v>
                  </c:pt>
                  <c:pt idx="21">
                    <c:v>Plus de 14 ans</c:v>
                  </c:pt>
                </c:lvl>
              </c:multiLvlStrCache>
            </c:multiLvlStrRef>
          </c:cat>
          <c:val>
            <c:numRef>
              <c:f>Statistiques!$J$17:$AG$17</c:f>
            </c:numRef>
          </c:val>
        </c:ser>
        <c:ser>
          <c:idx val="14"/>
          <c:order val="1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Statistiques!$J$2:$AG$3</c:f>
              <c:multiLvlStrCache>
                <c:ptCount val="24"/>
                <c:lvl>
                  <c:pt idx="0">
                    <c:v>Garçons</c:v>
                  </c:pt>
                  <c:pt idx="1">
                    <c:v>Filles</c:v>
                  </c:pt>
                  <c:pt idx="2">
                    <c:v>Total</c:v>
                  </c:pt>
                  <c:pt idx="3">
                    <c:v>Garçons</c:v>
                  </c:pt>
                  <c:pt idx="4">
                    <c:v>Filles</c:v>
                  </c:pt>
                  <c:pt idx="5">
                    <c:v>Total</c:v>
                  </c:pt>
                  <c:pt idx="6">
                    <c:v>Garçons</c:v>
                  </c:pt>
                  <c:pt idx="7">
                    <c:v>Filles</c:v>
                  </c:pt>
                  <c:pt idx="8">
                    <c:v>Total</c:v>
                  </c:pt>
                  <c:pt idx="9">
                    <c:v>Garçons</c:v>
                  </c:pt>
                  <c:pt idx="10">
                    <c:v>Filles</c:v>
                  </c:pt>
                  <c:pt idx="11">
                    <c:v>Total</c:v>
                  </c:pt>
                  <c:pt idx="12">
                    <c:v>Garçons</c:v>
                  </c:pt>
                  <c:pt idx="13">
                    <c:v>Filles</c:v>
                  </c:pt>
                  <c:pt idx="14">
                    <c:v>Total</c:v>
                  </c:pt>
                  <c:pt idx="15">
                    <c:v>Garçons</c:v>
                  </c:pt>
                  <c:pt idx="16">
                    <c:v>Filles</c:v>
                  </c:pt>
                  <c:pt idx="17">
                    <c:v>Total</c:v>
                  </c:pt>
                  <c:pt idx="18">
                    <c:v>Garçons</c:v>
                  </c:pt>
                  <c:pt idx="19">
                    <c:v>Filles</c:v>
                  </c:pt>
                  <c:pt idx="20">
                    <c:v>Total</c:v>
                  </c:pt>
                  <c:pt idx="21">
                    <c:v>Garçons</c:v>
                  </c:pt>
                  <c:pt idx="22">
                    <c:v>Filles</c:v>
                  </c:pt>
                  <c:pt idx="23">
                    <c:v>Total</c:v>
                  </c:pt>
                </c:lvl>
                <c:lvl>
                  <c:pt idx="0">
                    <c:v>Moins de 9 ans</c:v>
                  </c:pt>
                  <c:pt idx="3">
                    <c:v>9 ans</c:v>
                  </c:pt>
                  <c:pt idx="6">
                    <c:v>10 ans</c:v>
                  </c:pt>
                  <c:pt idx="9">
                    <c:v>11 ans</c:v>
                  </c:pt>
                  <c:pt idx="12">
                    <c:v>12 ans</c:v>
                  </c:pt>
                  <c:pt idx="15">
                    <c:v>13 ans</c:v>
                  </c:pt>
                  <c:pt idx="18">
                    <c:v>14 ans</c:v>
                  </c:pt>
                  <c:pt idx="21">
                    <c:v>Plus de 14 ans</c:v>
                  </c:pt>
                </c:lvl>
              </c:multiLvlStrCache>
            </c:multiLvlStrRef>
          </c:cat>
          <c:val>
            <c:numRef>
              <c:f>Statistiques!$J$18:$AG$18</c:f>
            </c:numRef>
          </c:val>
        </c:ser>
        <c:ser>
          <c:idx val="15"/>
          <c:order val="1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Statistiques!$J$2:$AG$3</c:f>
              <c:multiLvlStrCache>
                <c:ptCount val="24"/>
                <c:lvl>
                  <c:pt idx="0">
                    <c:v>Garçons</c:v>
                  </c:pt>
                  <c:pt idx="1">
                    <c:v>Filles</c:v>
                  </c:pt>
                  <c:pt idx="2">
                    <c:v>Total</c:v>
                  </c:pt>
                  <c:pt idx="3">
                    <c:v>Garçons</c:v>
                  </c:pt>
                  <c:pt idx="4">
                    <c:v>Filles</c:v>
                  </c:pt>
                  <c:pt idx="5">
                    <c:v>Total</c:v>
                  </c:pt>
                  <c:pt idx="6">
                    <c:v>Garçons</c:v>
                  </c:pt>
                  <c:pt idx="7">
                    <c:v>Filles</c:v>
                  </c:pt>
                  <c:pt idx="8">
                    <c:v>Total</c:v>
                  </c:pt>
                  <c:pt idx="9">
                    <c:v>Garçons</c:v>
                  </c:pt>
                  <c:pt idx="10">
                    <c:v>Filles</c:v>
                  </c:pt>
                  <c:pt idx="11">
                    <c:v>Total</c:v>
                  </c:pt>
                  <c:pt idx="12">
                    <c:v>Garçons</c:v>
                  </c:pt>
                  <c:pt idx="13">
                    <c:v>Filles</c:v>
                  </c:pt>
                  <c:pt idx="14">
                    <c:v>Total</c:v>
                  </c:pt>
                  <c:pt idx="15">
                    <c:v>Garçons</c:v>
                  </c:pt>
                  <c:pt idx="16">
                    <c:v>Filles</c:v>
                  </c:pt>
                  <c:pt idx="17">
                    <c:v>Total</c:v>
                  </c:pt>
                  <c:pt idx="18">
                    <c:v>Garçons</c:v>
                  </c:pt>
                  <c:pt idx="19">
                    <c:v>Filles</c:v>
                  </c:pt>
                  <c:pt idx="20">
                    <c:v>Total</c:v>
                  </c:pt>
                  <c:pt idx="21">
                    <c:v>Garçons</c:v>
                  </c:pt>
                  <c:pt idx="22">
                    <c:v>Filles</c:v>
                  </c:pt>
                  <c:pt idx="23">
                    <c:v>Total</c:v>
                  </c:pt>
                </c:lvl>
                <c:lvl>
                  <c:pt idx="0">
                    <c:v>Moins de 9 ans</c:v>
                  </c:pt>
                  <c:pt idx="3">
                    <c:v>9 ans</c:v>
                  </c:pt>
                  <c:pt idx="6">
                    <c:v>10 ans</c:v>
                  </c:pt>
                  <c:pt idx="9">
                    <c:v>11 ans</c:v>
                  </c:pt>
                  <c:pt idx="12">
                    <c:v>12 ans</c:v>
                  </c:pt>
                  <c:pt idx="15">
                    <c:v>13 ans</c:v>
                  </c:pt>
                  <c:pt idx="18">
                    <c:v>14 ans</c:v>
                  </c:pt>
                  <c:pt idx="21">
                    <c:v>Plus de 14 ans</c:v>
                  </c:pt>
                </c:lvl>
              </c:multiLvlStrCache>
            </c:multiLvlStrRef>
          </c:cat>
          <c:val>
            <c:numRef>
              <c:f>Statistiques!$J$19:$AG$19</c:f>
            </c:numRef>
          </c:val>
        </c:ser>
        <c:ser>
          <c:idx val="16"/>
          <c:order val="1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Statistiques!$J$2:$AG$3</c:f>
              <c:multiLvlStrCache>
                <c:ptCount val="24"/>
                <c:lvl>
                  <c:pt idx="0">
                    <c:v>Garçons</c:v>
                  </c:pt>
                  <c:pt idx="1">
                    <c:v>Filles</c:v>
                  </c:pt>
                  <c:pt idx="2">
                    <c:v>Total</c:v>
                  </c:pt>
                  <c:pt idx="3">
                    <c:v>Garçons</c:v>
                  </c:pt>
                  <c:pt idx="4">
                    <c:v>Filles</c:v>
                  </c:pt>
                  <c:pt idx="5">
                    <c:v>Total</c:v>
                  </c:pt>
                  <c:pt idx="6">
                    <c:v>Garçons</c:v>
                  </c:pt>
                  <c:pt idx="7">
                    <c:v>Filles</c:v>
                  </c:pt>
                  <c:pt idx="8">
                    <c:v>Total</c:v>
                  </c:pt>
                  <c:pt idx="9">
                    <c:v>Garçons</c:v>
                  </c:pt>
                  <c:pt idx="10">
                    <c:v>Filles</c:v>
                  </c:pt>
                  <c:pt idx="11">
                    <c:v>Total</c:v>
                  </c:pt>
                  <c:pt idx="12">
                    <c:v>Garçons</c:v>
                  </c:pt>
                  <c:pt idx="13">
                    <c:v>Filles</c:v>
                  </c:pt>
                  <c:pt idx="14">
                    <c:v>Total</c:v>
                  </c:pt>
                  <c:pt idx="15">
                    <c:v>Garçons</c:v>
                  </c:pt>
                  <c:pt idx="16">
                    <c:v>Filles</c:v>
                  </c:pt>
                  <c:pt idx="17">
                    <c:v>Total</c:v>
                  </c:pt>
                  <c:pt idx="18">
                    <c:v>Garçons</c:v>
                  </c:pt>
                  <c:pt idx="19">
                    <c:v>Filles</c:v>
                  </c:pt>
                  <c:pt idx="20">
                    <c:v>Total</c:v>
                  </c:pt>
                  <c:pt idx="21">
                    <c:v>Garçons</c:v>
                  </c:pt>
                  <c:pt idx="22">
                    <c:v>Filles</c:v>
                  </c:pt>
                  <c:pt idx="23">
                    <c:v>Total</c:v>
                  </c:pt>
                </c:lvl>
                <c:lvl>
                  <c:pt idx="0">
                    <c:v>Moins de 9 ans</c:v>
                  </c:pt>
                  <c:pt idx="3">
                    <c:v>9 ans</c:v>
                  </c:pt>
                  <c:pt idx="6">
                    <c:v>10 ans</c:v>
                  </c:pt>
                  <c:pt idx="9">
                    <c:v>11 ans</c:v>
                  </c:pt>
                  <c:pt idx="12">
                    <c:v>12 ans</c:v>
                  </c:pt>
                  <c:pt idx="15">
                    <c:v>13 ans</c:v>
                  </c:pt>
                  <c:pt idx="18">
                    <c:v>14 ans</c:v>
                  </c:pt>
                  <c:pt idx="21">
                    <c:v>Plus de 14 ans</c:v>
                  </c:pt>
                </c:lvl>
              </c:multiLvlStrCache>
            </c:multiLvlStrRef>
          </c:cat>
          <c:val>
            <c:numRef>
              <c:f>Statistiques!$J$20:$AG$20</c:f>
            </c:numRef>
          </c:val>
        </c:ser>
        <c:ser>
          <c:idx val="17"/>
          <c:order val="1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Statistiques!$J$2:$AG$3</c:f>
              <c:multiLvlStrCache>
                <c:ptCount val="24"/>
                <c:lvl>
                  <c:pt idx="0">
                    <c:v>Garçons</c:v>
                  </c:pt>
                  <c:pt idx="1">
                    <c:v>Filles</c:v>
                  </c:pt>
                  <c:pt idx="2">
                    <c:v>Total</c:v>
                  </c:pt>
                  <c:pt idx="3">
                    <c:v>Garçons</c:v>
                  </c:pt>
                  <c:pt idx="4">
                    <c:v>Filles</c:v>
                  </c:pt>
                  <c:pt idx="5">
                    <c:v>Total</c:v>
                  </c:pt>
                  <c:pt idx="6">
                    <c:v>Garçons</c:v>
                  </c:pt>
                  <c:pt idx="7">
                    <c:v>Filles</c:v>
                  </c:pt>
                  <c:pt idx="8">
                    <c:v>Total</c:v>
                  </c:pt>
                  <c:pt idx="9">
                    <c:v>Garçons</c:v>
                  </c:pt>
                  <c:pt idx="10">
                    <c:v>Filles</c:v>
                  </c:pt>
                  <c:pt idx="11">
                    <c:v>Total</c:v>
                  </c:pt>
                  <c:pt idx="12">
                    <c:v>Garçons</c:v>
                  </c:pt>
                  <c:pt idx="13">
                    <c:v>Filles</c:v>
                  </c:pt>
                  <c:pt idx="14">
                    <c:v>Total</c:v>
                  </c:pt>
                  <c:pt idx="15">
                    <c:v>Garçons</c:v>
                  </c:pt>
                  <c:pt idx="16">
                    <c:v>Filles</c:v>
                  </c:pt>
                  <c:pt idx="17">
                    <c:v>Total</c:v>
                  </c:pt>
                  <c:pt idx="18">
                    <c:v>Garçons</c:v>
                  </c:pt>
                  <c:pt idx="19">
                    <c:v>Filles</c:v>
                  </c:pt>
                  <c:pt idx="20">
                    <c:v>Total</c:v>
                  </c:pt>
                  <c:pt idx="21">
                    <c:v>Garçons</c:v>
                  </c:pt>
                  <c:pt idx="22">
                    <c:v>Filles</c:v>
                  </c:pt>
                  <c:pt idx="23">
                    <c:v>Total</c:v>
                  </c:pt>
                </c:lvl>
                <c:lvl>
                  <c:pt idx="0">
                    <c:v>Moins de 9 ans</c:v>
                  </c:pt>
                  <c:pt idx="3">
                    <c:v>9 ans</c:v>
                  </c:pt>
                  <c:pt idx="6">
                    <c:v>10 ans</c:v>
                  </c:pt>
                  <c:pt idx="9">
                    <c:v>11 ans</c:v>
                  </c:pt>
                  <c:pt idx="12">
                    <c:v>12 ans</c:v>
                  </c:pt>
                  <c:pt idx="15">
                    <c:v>13 ans</c:v>
                  </c:pt>
                  <c:pt idx="18">
                    <c:v>14 ans</c:v>
                  </c:pt>
                  <c:pt idx="21">
                    <c:v>Plus de 14 ans</c:v>
                  </c:pt>
                </c:lvl>
              </c:multiLvlStrCache>
            </c:multiLvlStrRef>
          </c:cat>
          <c:val>
            <c:numRef>
              <c:f>Statistiques!$J$21:$AG$21</c:f>
            </c:numRef>
          </c:val>
        </c:ser>
        <c:ser>
          <c:idx val="18"/>
          <c:order val="1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Statistiques!$J$2:$AG$3</c:f>
              <c:multiLvlStrCache>
                <c:ptCount val="24"/>
                <c:lvl>
                  <c:pt idx="0">
                    <c:v>Garçons</c:v>
                  </c:pt>
                  <c:pt idx="1">
                    <c:v>Filles</c:v>
                  </c:pt>
                  <c:pt idx="2">
                    <c:v>Total</c:v>
                  </c:pt>
                  <c:pt idx="3">
                    <c:v>Garçons</c:v>
                  </c:pt>
                  <c:pt idx="4">
                    <c:v>Filles</c:v>
                  </c:pt>
                  <c:pt idx="5">
                    <c:v>Total</c:v>
                  </c:pt>
                  <c:pt idx="6">
                    <c:v>Garçons</c:v>
                  </c:pt>
                  <c:pt idx="7">
                    <c:v>Filles</c:v>
                  </c:pt>
                  <c:pt idx="8">
                    <c:v>Total</c:v>
                  </c:pt>
                  <c:pt idx="9">
                    <c:v>Garçons</c:v>
                  </c:pt>
                  <c:pt idx="10">
                    <c:v>Filles</c:v>
                  </c:pt>
                  <c:pt idx="11">
                    <c:v>Total</c:v>
                  </c:pt>
                  <c:pt idx="12">
                    <c:v>Garçons</c:v>
                  </c:pt>
                  <c:pt idx="13">
                    <c:v>Filles</c:v>
                  </c:pt>
                  <c:pt idx="14">
                    <c:v>Total</c:v>
                  </c:pt>
                  <c:pt idx="15">
                    <c:v>Garçons</c:v>
                  </c:pt>
                  <c:pt idx="16">
                    <c:v>Filles</c:v>
                  </c:pt>
                  <c:pt idx="17">
                    <c:v>Total</c:v>
                  </c:pt>
                  <c:pt idx="18">
                    <c:v>Garçons</c:v>
                  </c:pt>
                  <c:pt idx="19">
                    <c:v>Filles</c:v>
                  </c:pt>
                  <c:pt idx="20">
                    <c:v>Total</c:v>
                  </c:pt>
                  <c:pt idx="21">
                    <c:v>Garçons</c:v>
                  </c:pt>
                  <c:pt idx="22">
                    <c:v>Filles</c:v>
                  </c:pt>
                  <c:pt idx="23">
                    <c:v>Total</c:v>
                  </c:pt>
                </c:lvl>
                <c:lvl>
                  <c:pt idx="0">
                    <c:v>Moins de 9 ans</c:v>
                  </c:pt>
                  <c:pt idx="3">
                    <c:v>9 ans</c:v>
                  </c:pt>
                  <c:pt idx="6">
                    <c:v>10 ans</c:v>
                  </c:pt>
                  <c:pt idx="9">
                    <c:v>11 ans</c:v>
                  </c:pt>
                  <c:pt idx="12">
                    <c:v>12 ans</c:v>
                  </c:pt>
                  <c:pt idx="15">
                    <c:v>13 ans</c:v>
                  </c:pt>
                  <c:pt idx="18">
                    <c:v>14 ans</c:v>
                  </c:pt>
                  <c:pt idx="21">
                    <c:v>Plus de 14 ans</c:v>
                  </c:pt>
                </c:lvl>
              </c:multiLvlStrCache>
            </c:multiLvlStrRef>
          </c:cat>
          <c:val>
            <c:numRef>
              <c:f>Statistiques!$J$22:$AG$22</c:f>
            </c:numRef>
          </c:val>
        </c:ser>
        <c:ser>
          <c:idx val="19"/>
          <c:order val="19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Statistiques!$J$2:$AG$3</c:f>
              <c:multiLvlStrCache>
                <c:ptCount val="24"/>
                <c:lvl>
                  <c:pt idx="0">
                    <c:v>Garçons</c:v>
                  </c:pt>
                  <c:pt idx="1">
                    <c:v>Filles</c:v>
                  </c:pt>
                  <c:pt idx="2">
                    <c:v>Total</c:v>
                  </c:pt>
                  <c:pt idx="3">
                    <c:v>Garçons</c:v>
                  </c:pt>
                  <c:pt idx="4">
                    <c:v>Filles</c:v>
                  </c:pt>
                  <c:pt idx="5">
                    <c:v>Total</c:v>
                  </c:pt>
                  <c:pt idx="6">
                    <c:v>Garçons</c:v>
                  </c:pt>
                  <c:pt idx="7">
                    <c:v>Filles</c:v>
                  </c:pt>
                  <c:pt idx="8">
                    <c:v>Total</c:v>
                  </c:pt>
                  <c:pt idx="9">
                    <c:v>Garçons</c:v>
                  </c:pt>
                  <c:pt idx="10">
                    <c:v>Filles</c:v>
                  </c:pt>
                  <c:pt idx="11">
                    <c:v>Total</c:v>
                  </c:pt>
                  <c:pt idx="12">
                    <c:v>Garçons</c:v>
                  </c:pt>
                  <c:pt idx="13">
                    <c:v>Filles</c:v>
                  </c:pt>
                  <c:pt idx="14">
                    <c:v>Total</c:v>
                  </c:pt>
                  <c:pt idx="15">
                    <c:v>Garçons</c:v>
                  </c:pt>
                  <c:pt idx="16">
                    <c:v>Filles</c:v>
                  </c:pt>
                  <c:pt idx="17">
                    <c:v>Total</c:v>
                  </c:pt>
                  <c:pt idx="18">
                    <c:v>Garçons</c:v>
                  </c:pt>
                  <c:pt idx="19">
                    <c:v>Filles</c:v>
                  </c:pt>
                  <c:pt idx="20">
                    <c:v>Total</c:v>
                  </c:pt>
                  <c:pt idx="21">
                    <c:v>Garçons</c:v>
                  </c:pt>
                  <c:pt idx="22">
                    <c:v>Filles</c:v>
                  </c:pt>
                  <c:pt idx="23">
                    <c:v>Total</c:v>
                  </c:pt>
                </c:lvl>
                <c:lvl>
                  <c:pt idx="0">
                    <c:v>Moins de 9 ans</c:v>
                  </c:pt>
                  <c:pt idx="3">
                    <c:v>9 ans</c:v>
                  </c:pt>
                  <c:pt idx="6">
                    <c:v>10 ans</c:v>
                  </c:pt>
                  <c:pt idx="9">
                    <c:v>11 ans</c:v>
                  </c:pt>
                  <c:pt idx="12">
                    <c:v>12 ans</c:v>
                  </c:pt>
                  <c:pt idx="15">
                    <c:v>13 ans</c:v>
                  </c:pt>
                  <c:pt idx="18">
                    <c:v>14 ans</c:v>
                  </c:pt>
                  <c:pt idx="21">
                    <c:v>Plus de 14 ans</c:v>
                  </c:pt>
                </c:lvl>
              </c:multiLvlStrCache>
            </c:multiLvlStrRef>
          </c:cat>
          <c:val>
            <c:numRef>
              <c:f>Statistiques!$J$23:$AG$23</c:f>
            </c:numRef>
          </c:val>
        </c:ser>
        <c:ser>
          <c:idx val="20"/>
          <c:order val="2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Statistiques!$J$2:$AG$3</c:f>
              <c:multiLvlStrCache>
                <c:ptCount val="24"/>
                <c:lvl>
                  <c:pt idx="0">
                    <c:v>Garçons</c:v>
                  </c:pt>
                  <c:pt idx="1">
                    <c:v>Filles</c:v>
                  </c:pt>
                  <c:pt idx="2">
                    <c:v>Total</c:v>
                  </c:pt>
                  <c:pt idx="3">
                    <c:v>Garçons</c:v>
                  </c:pt>
                  <c:pt idx="4">
                    <c:v>Filles</c:v>
                  </c:pt>
                  <c:pt idx="5">
                    <c:v>Total</c:v>
                  </c:pt>
                  <c:pt idx="6">
                    <c:v>Garçons</c:v>
                  </c:pt>
                  <c:pt idx="7">
                    <c:v>Filles</c:v>
                  </c:pt>
                  <c:pt idx="8">
                    <c:v>Total</c:v>
                  </c:pt>
                  <c:pt idx="9">
                    <c:v>Garçons</c:v>
                  </c:pt>
                  <c:pt idx="10">
                    <c:v>Filles</c:v>
                  </c:pt>
                  <c:pt idx="11">
                    <c:v>Total</c:v>
                  </c:pt>
                  <c:pt idx="12">
                    <c:v>Garçons</c:v>
                  </c:pt>
                  <c:pt idx="13">
                    <c:v>Filles</c:v>
                  </c:pt>
                  <c:pt idx="14">
                    <c:v>Total</c:v>
                  </c:pt>
                  <c:pt idx="15">
                    <c:v>Garçons</c:v>
                  </c:pt>
                  <c:pt idx="16">
                    <c:v>Filles</c:v>
                  </c:pt>
                  <c:pt idx="17">
                    <c:v>Total</c:v>
                  </c:pt>
                  <c:pt idx="18">
                    <c:v>Garçons</c:v>
                  </c:pt>
                  <c:pt idx="19">
                    <c:v>Filles</c:v>
                  </c:pt>
                  <c:pt idx="20">
                    <c:v>Total</c:v>
                  </c:pt>
                  <c:pt idx="21">
                    <c:v>Garçons</c:v>
                  </c:pt>
                  <c:pt idx="22">
                    <c:v>Filles</c:v>
                  </c:pt>
                  <c:pt idx="23">
                    <c:v>Total</c:v>
                  </c:pt>
                </c:lvl>
                <c:lvl>
                  <c:pt idx="0">
                    <c:v>Moins de 9 ans</c:v>
                  </c:pt>
                  <c:pt idx="3">
                    <c:v>9 ans</c:v>
                  </c:pt>
                  <c:pt idx="6">
                    <c:v>10 ans</c:v>
                  </c:pt>
                  <c:pt idx="9">
                    <c:v>11 ans</c:v>
                  </c:pt>
                  <c:pt idx="12">
                    <c:v>12 ans</c:v>
                  </c:pt>
                  <c:pt idx="15">
                    <c:v>13 ans</c:v>
                  </c:pt>
                  <c:pt idx="18">
                    <c:v>14 ans</c:v>
                  </c:pt>
                  <c:pt idx="21">
                    <c:v>Plus de 14 ans</c:v>
                  </c:pt>
                </c:lvl>
              </c:multiLvlStrCache>
            </c:multiLvlStrRef>
          </c:cat>
          <c:val>
            <c:numRef>
              <c:f>Statistiques!$J$24:$AG$24</c:f>
            </c:numRef>
          </c:val>
        </c:ser>
        <c:ser>
          <c:idx val="21"/>
          <c:order val="2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Statistiques!$J$2:$AG$3</c:f>
              <c:multiLvlStrCache>
                <c:ptCount val="24"/>
                <c:lvl>
                  <c:pt idx="0">
                    <c:v>Garçons</c:v>
                  </c:pt>
                  <c:pt idx="1">
                    <c:v>Filles</c:v>
                  </c:pt>
                  <c:pt idx="2">
                    <c:v>Total</c:v>
                  </c:pt>
                  <c:pt idx="3">
                    <c:v>Garçons</c:v>
                  </c:pt>
                  <c:pt idx="4">
                    <c:v>Filles</c:v>
                  </c:pt>
                  <c:pt idx="5">
                    <c:v>Total</c:v>
                  </c:pt>
                  <c:pt idx="6">
                    <c:v>Garçons</c:v>
                  </c:pt>
                  <c:pt idx="7">
                    <c:v>Filles</c:v>
                  </c:pt>
                  <c:pt idx="8">
                    <c:v>Total</c:v>
                  </c:pt>
                  <c:pt idx="9">
                    <c:v>Garçons</c:v>
                  </c:pt>
                  <c:pt idx="10">
                    <c:v>Filles</c:v>
                  </c:pt>
                  <c:pt idx="11">
                    <c:v>Total</c:v>
                  </c:pt>
                  <c:pt idx="12">
                    <c:v>Garçons</c:v>
                  </c:pt>
                  <c:pt idx="13">
                    <c:v>Filles</c:v>
                  </c:pt>
                  <c:pt idx="14">
                    <c:v>Total</c:v>
                  </c:pt>
                  <c:pt idx="15">
                    <c:v>Garçons</c:v>
                  </c:pt>
                  <c:pt idx="16">
                    <c:v>Filles</c:v>
                  </c:pt>
                  <c:pt idx="17">
                    <c:v>Total</c:v>
                  </c:pt>
                  <c:pt idx="18">
                    <c:v>Garçons</c:v>
                  </c:pt>
                  <c:pt idx="19">
                    <c:v>Filles</c:v>
                  </c:pt>
                  <c:pt idx="20">
                    <c:v>Total</c:v>
                  </c:pt>
                  <c:pt idx="21">
                    <c:v>Garçons</c:v>
                  </c:pt>
                  <c:pt idx="22">
                    <c:v>Filles</c:v>
                  </c:pt>
                  <c:pt idx="23">
                    <c:v>Total</c:v>
                  </c:pt>
                </c:lvl>
                <c:lvl>
                  <c:pt idx="0">
                    <c:v>Moins de 9 ans</c:v>
                  </c:pt>
                  <c:pt idx="3">
                    <c:v>9 ans</c:v>
                  </c:pt>
                  <c:pt idx="6">
                    <c:v>10 ans</c:v>
                  </c:pt>
                  <c:pt idx="9">
                    <c:v>11 ans</c:v>
                  </c:pt>
                  <c:pt idx="12">
                    <c:v>12 ans</c:v>
                  </c:pt>
                  <c:pt idx="15">
                    <c:v>13 ans</c:v>
                  </c:pt>
                  <c:pt idx="18">
                    <c:v>14 ans</c:v>
                  </c:pt>
                  <c:pt idx="21">
                    <c:v>Plus de 14 ans</c:v>
                  </c:pt>
                </c:lvl>
              </c:multiLvlStrCache>
            </c:multiLvlStrRef>
          </c:cat>
          <c:val>
            <c:numRef>
              <c:f>Statistiques!$J$25:$AG$25</c:f>
            </c:numRef>
          </c:val>
        </c:ser>
        <c:ser>
          <c:idx val="22"/>
          <c:order val="2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Statistiques!$J$2:$AG$3</c:f>
              <c:multiLvlStrCache>
                <c:ptCount val="24"/>
                <c:lvl>
                  <c:pt idx="0">
                    <c:v>Garçons</c:v>
                  </c:pt>
                  <c:pt idx="1">
                    <c:v>Filles</c:v>
                  </c:pt>
                  <c:pt idx="2">
                    <c:v>Total</c:v>
                  </c:pt>
                  <c:pt idx="3">
                    <c:v>Garçons</c:v>
                  </c:pt>
                  <c:pt idx="4">
                    <c:v>Filles</c:v>
                  </c:pt>
                  <c:pt idx="5">
                    <c:v>Total</c:v>
                  </c:pt>
                  <c:pt idx="6">
                    <c:v>Garçons</c:v>
                  </c:pt>
                  <c:pt idx="7">
                    <c:v>Filles</c:v>
                  </c:pt>
                  <c:pt idx="8">
                    <c:v>Total</c:v>
                  </c:pt>
                  <c:pt idx="9">
                    <c:v>Garçons</c:v>
                  </c:pt>
                  <c:pt idx="10">
                    <c:v>Filles</c:v>
                  </c:pt>
                  <c:pt idx="11">
                    <c:v>Total</c:v>
                  </c:pt>
                  <c:pt idx="12">
                    <c:v>Garçons</c:v>
                  </c:pt>
                  <c:pt idx="13">
                    <c:v>Filles</c:v>
                  </c:pt>
                  <c:pt idx="14">
                    <c:v>Total</c:v>
                  </c:pt>
                  <c:pt idx="15">
                    <c:v>Garçons</c:v>
                  </c:pt>
                  <c:pt idx="16">
                    <c:v>Filles</c:v>
                  </c:pt>
                  <c:pt idx="17">
                    <c:v>Total</c:v>
                  </c:pt>
                  <c:pt idx="18">
                    <c:v>Garçons</c:v>
                  </c:pt>
                  <c:pt idx="19">
                    <c:v>Filles</c:v>
                  </c:pt>
                  <c:pt idx="20">
                    <c:v>Total</c:v>
                  </c:pt>
                  <c:pt idx="21">
                    <c:v>Garçons</c:v>
                  </c:pt>
                  <c:pt idx="22">
                    <c:v>Filles</c:v>
                  </c:pt>
                  <c:pt idx="23">
                    <c:v>Total</c:v>
                  </c:pt>
                </c:lvl>
                <c:lvl>
                  <c:pt idx="0">
                    <c:v>Moins de 9 ans</c:v>
                  </c:pt>
                  <c:pt idx="3">
                    <c:v>9 ans</c:v>
                  </c:pt>
                  <c:pt idx="6">
                    <c:v>10 ans</c:v>
                  </c:pt>
                  <c:pt idx="9">
                    <c:v>11 ans</c:v>
                  </c:pt>
                  <c:pt idx="12">
                    <c:v>12 ans</c:v>
                  </c:pt>
                  <c:pt idx="15">
                    <c:v>13 ans</c:v>
                  </c:pt>
                  <c:pt idx="18">
                    <c:v>14 ans</c:v>
                  </c:pt>
                  <c:pt idx="21">
                    <c:v>Plus de 14 ans</c:v>
                  </c:pt>
                </c:lvl>
              </c:multiLvlStrCache>
            </c:multiLvlStrRef>
          </c:cat>
          <c:val>
            <c:numRef>
              <c:f>Statistiques!$J$26:$AG$26</c:f>
            </c:numRef>
          </c:val>
        </c:ser>
        <c:ser>
          <c:idx val="23"/>
          <c:order val="2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Statistiques!$J$2:$AG$3</c:f>
              <c:multiLvlStrCache>
                <c:ptCount val="24"/>
                <c:lvl>
                  <c:pt idx="0">
                    <c:v>Garçons</c:v>
                  </c:pt>
                  <c:pt idx="1">
                    <c:v>Filles</c:v>
                  </c:pt>
                  <c:pt idx="2">
                    <c:v>Total</c:v>
                  </c:pt>
                  <c:pt idx="3">
                    <c:v>Garçons</c:v>
                  </c:pt>
                  <c:pt idx="4">
                    <c:v>Filles</c:v>
                  </c:pt>
                  <c:pt idx="5">
                    <c:v>Total</c:v>
                  </c:pt>
                  <c:pt idx="6">
                    <c:v>Garçons</c:v>
                  </c:pt>
                  <c:pt idx="7">
                    <c:v>Filles</c:v>
                  </c:pt>
                  <c:pt idx="8">
                    <c:v>Total</c:v>
                  </c:pt>
                  <c:pt idx="9">
                    <c:v>Garçons</c:v>
                  </c:pt>
                  <c:pt idx="10">
                    <c:v>Filles</c:v>
                  </c:pt>
                  <c:pt idx="11">
                    <c:v>Total</c:v>
                  </c:pt>
                  <c:pt idx="12">
                    <c:v>Garçons</c:v>
                  </c:pt>
                  <c:pt idx="13">
                    <c:v>Filles</c:v>
                  </c:pt>
                  <c:pt idx="14">
                    <c:v>Total</c:v>
                  </c:pt>
                  <c:pt idx="15">
                    <c:v>Garçons</c:v>
                  </c:pt>
                  <c:pt idx="16">
                    <c:v>Filles</c:v>
                  </c:pt>
                  <c:pt idx="17">
                    <c:v>Total</c:v>
                  </c:pt>
                  <c:pt idx="18">
                    <c:v>Garçons</c:v>
                  </c:pt>
                  <c:pt idx="19">
                    <c:v>Filles</c:v>
                  </c:pt>
                  <c:pt idx="20">
                    <c:v>Total</c:v>
                  </c:pt>
                  <c:pt idx="21">
                    <c:v>Garçons</c:v>
                  </c:pt>
                  <c:pt idx="22">
                    <c:v>Filles</c:v>
                  </c:pt>
                  <c:pt idx="23">
                    <c:v>Total</c:v>
                  </c:pt>
                </c:lvl>
                <c:lvl>
                  <c:pt idx="0">
                    <c:v>Moins de 9 ans</c:v>
                  </c:pt>
                  <c:pt idx="3">
                    <c:v>9 ans</c:v>
                  </c:pt>
                  <c:pt idx="6">
                    <c:v>10 ans</c:v>
                  </c:pt>
                  <c:pt idx="9">
                    <c:v>11 ans</c:v>
                  </c:pt>
                  <c:pt idx="12">
                    <c:v>12 ans</c:v>
                  </c:pt>
                  <c:pt idx="15">
                    <c:v>13 ans</c:v>
                  </c:pt>
                  <c:pt idx="18">
                    <c:v>14 ans</c:v>
                  </c:pt>
                  <c:pt idx="21">
                    <c:v>Plus de 14 ans</c:v>
                  </c:pt>
                </c:lvl>
              </c:multiLvlStrCache>
            </c:multiLvlStrRef>
          </c:cat>
          <c:val>
            <c:numRef>
              <c:f>Statistiques!$J$27:$AG$27</c:f>
            </c:numRef>
          </c:val>
        </c:ser>
        <c:ser>
          <c:idx val="25"/>
          <c:order val="2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Statistiques!$J$2:$AG$3</c:f>
              <c:multiLvlStrCache>
                <c:ptCount val="24"/>
                <c:lvl>
                  <c:pt idx="0">
                    <c:v>Garçons</c:v>
                  </c:pt>
                  <c:pt idx="1">
                    <c:v>Filles</c:v>
                  </c:pt>
                  <c:pt idx="2">
                    <c:v>Total</c:v>
                  </c:pt>
                  <c:pt idx="3">
                    <c:v>Garçons</c:v>
                  </c:pt>
                  <c:pt idx="4">
                    <c:v>Filles</c:v>
                  </c:pt>
                  <c:pt idx="5">
                    <c:v>Total</c:v>
                  </c:pt>
                  <c:pt idx="6">
                    <c:v>Garçons</c:v>
                  </c:pt>
                  <c:pt idx="7">
                    <c:v>Filles</c:v>
                  </c:pt>
                  <c:pt idx="8">
                    <c:v>Total</c:v>
                  </c:pt>
                  <c:pt idx="9">
                    <c:v>Garçons</c:v>
                  </c:pt>
                  <c:pt idx="10">
                    <c:v>Filles</c:v>
                  </c:pt>
                  <c:pt idx="11">
                    <c:v>Total</c:v>
                  </c:pt>
                  <c:pt idx="12">
                    <c:v>Garçons</c:v>
                  </c:pt>
                  <c:pt idx="13">
                    <c:v>Filles</c:v>
                  </c:pt>
                  <c:pt idx="14">
                    <c:v>Total</c:v>
                  </c:pt>
                  <c:pt idx="15">
                    <c:v>Garçons</c:v>
                  </c:pt>
                  <c:pt idx="16">
                    <c:v>Filles</c:v>
                  </c:pt>
                  <c:pt idx="17">
                    <c:v>Total</c:v>
                  </c:pt>
                  <c:pt idx="18">
                    <c:v>Garçons</c:v>
                  </c:pt>
                  <c:pt idx="19">
                    <c:v>Filles</c:v>
                  </c:pt>
                  <c:pt idx="20">
                    <c:v>Total</c:v>
                  </c:pt>
                  <c:pt idx="21">
                    <c:v>Garçons</c:v>
                  </c:pt>
                  <c:pt idx="22">
                    <c:v>Filles</c:v>
                  </c:pt>
                  <c:pt idx="23">
                    <c:v>Total</c:v>
                  </c:pt>
                </c:lvl>
                <c:lvl>
                  <c:pt idx="0">
                    <c:v>Moins de 9 ans</c:v>
                  </c:pt>
                  <c:pt idx="3">
                    <c:v>9 ans</c:v>
                  </c:pt>
                  <c:pt idx="6">
                    <c:v>10 ans</c:v>
                  </c:pt>
                  <c:pt idx="9">
                    <c:v>11 ans</c:v>
                  </c:pt>
                  <c:pt idx="12">
                    <c:v>12 ans</c:v>
                  </c:pt>
                  <c:pt idx="15">
                    <c:v>13 ans</c:v>
                  </c:pt>
                  <c:pt idx="18">
                    <c:v>14 ans</c:v>
                  </c:pt>
                  <c:pt idx="21">
                    <c:v>Plus de 14 ans</c:v>
                  </c:pt>
                </c:lvl>
              </c:multiLvlStrCache>
            </c:multiLvlStrRef>
          </c:cat>
          <c:val>
            <c:numRef>
              <c:f>Statistiques!$J$28:$AG$28</c:f>
            </c:numRef>
          </c:val>
        </c:ser>
        <c:ser>
          <c:idx val="26"/>
          <c:order val="2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Statistiques!$J$2:$AG$3</c:f>
              <c:multiLvlStrCache>
                <c:ptCount val="24"/>
                <c:lvl>
                  <c:pt idx="0">
                    <c:v>Garçons</c:v>
                  </c:pt>
                  <c:pt idx="1">
                    <c:v>Filles</c:v>
                  </c:pt>
                  <c:pt idx="2">
                    <c:v>Total</c:v>
                  </c:pt>
                  <c:pt idx="3">
                    <c:v>Garçons</c:v>
                  </c:pt>
                  <c:pt idx="4">
                    <c:v>Filles</c:v>
                  </c:pt>
                  <c:pt idx="5">
                    <c:v>Total</c:v>
                  </c:pt>
                  <c:pt idx="6">
                    <c:v>Garçons</c:v>
                  </c:pt>
                  <c:pt idx="7">
                    <c:v>Filles</c:v>
                  </c:pt>
                  <c:pt idx="8">
                    <c:v>Total</c:v>
                  </c:pt>
                  <c:pt idx="9">
                    <c:v>Garçons</c:v>
                  </c:pt>
                  <c:pt idx="10">
                    <c:v>Filles</c:v>
                  </c:pt>
                  <c:pt idx="11">
                    <c:v>Total</c:v>
                  </c:pt>
                  <c:pt idx="12">
                    <c:v>Garçons</c:v>
                  </c:pt>
                  <c:pt idx="13">
                    <c:v>Filles</c:v>
                  </c:pt>
                  <c:pt idx="14">
                    <c:v>Total</c:v>
                  </c:pt>
                  <c:pt idx="15">
                    <c:v>Garçons</c:v>
                  </c:pt>
                  <c:pt idx="16">
                    <c:v>Filles</c:v>
                  </c:pt>
                  <c:pt idx="17">
                    <c:v>Total</c:v>
                  </c:pt>
                  <c:pt idx="18">
                    <c:v>Garçons</c:v>
                  </c:pt>
                  <c:pt idx="19">
                    <c:v>Filles</c:v>
                  </c:pt>
                  <c:pt idx="20">
                    <c:v>Total</c:v>
                  </c:pt>
                  <c:pt idx="21">
                    <c:v>Garçons</c:v>
                  </c:pt>
                  <c:pt idx="22">
                    <c:v>Filles</c:v>
                  </c:pt>
                  <c:pt idx="23">
                    <c:v>Total</c:v>
                  </c:pt>
                </c:lvl>
                <c:lvl>
                  <c:pt idx="0">
                    <c:v>Moins de 9 ans</c:v>
                  </c:pt>
                  <c:pt idx="3">
                    <c:v>9 ans</c:v>
                  </c:pt>
                  <c:pt idx="6">
                    <c:v>10 ans</c:v>
                  </c:pt>
                  <c:pt idx="9">
                    <c:v>11 ans</c:v>
                  </c:pt>
                  <c:pt idx="12">
                    <c:v>12 ans</c:v>
                  </c:pt>
                  <c:pt idx="15">
                    <c:v>13 ans</c:v>
                  </c:pt>
                  <c:pt idx="18">
                    <c:v>14 ans</c:v>
                  </c:pt>
                  <c:pt idx="21">
                    <c:v>Plus de 14 ans</c:v>
                  </c:pt>
                </c:lvl>
              </c:multiLvlStrCache>
            </c:multiLvlStrRef>
          </c:cat>
          <c:val>
            <c:numRef>
              <c:f>Statistiques!$J$29:$AG$29</c:f>
            </c:numRef>
          </c:val>
        </c:ser>
        <c:ser>
          <c:idx val="27"/>
          <c:order val="2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Statistiques!$J$2:$AG$3</c:f>
              <c:multiLvlStrCache>
                <c:ptCount val="24"/>
                <c:lvl>
                  <c:pt idx="0">
                    <c:v>Garçons</c:v>
                  </c:pt>
                  <c:pt idx="1">
                    <c:v>Filles</c:v>
                  </c:pt>
                  <c:pt idx="2">
                    <c:v>Total</c:v>
                  </c:pt>
                  <c:pt idx="3">
                    <c:v>Garçons</c:v>
                  </c:pt>
                  <c:pt idx="4">
                    <c:v>Filles</c:v>
                  </c:pt>
                  <c:pt idx="5">
                    <c:v>Total</c:v>
                  </c:pt>
                  <c:pt idx="6">
                    <c:v>Garçons</c:v>
                  </c:pt>
                  <c:pt idx="7">
                    <c:v>Filles</c:v>
                  </c:pt>
                  <c:pt idx="8">
                    <c:v>Total</c:v>
                  </c:pt>
                  <c:pt idx="9">
                    <c:v>Garçons</c:v>
                  </c:pt>
                  <c:pt idx="10">
                    <c:v>Filles</c:v>
                  </c:pt>
                  <c:pt idx="11">
                    <c:v>Total</c:v>
                  </c:pt>
                  <c:pt idx="12">
                    <c:v>Garçons</c:v>
                  </c:pt>
                  <c:pt idx="13">
                    <c:v>Filles</c:v>
                  </c:pt>
                  <c:pt idx="14">
                    <c:v>Total</c:v>
                  </c:pt>
                  <c:pt idx="15">
                    <c:v>Garçons</c:v>
                  </c:pt>
                  <c:pt idx="16">
                    <c:v>Filles</c:v>
                  </c:pt>
                  <c:pt idx="17">
                    <c:v>Total</c:v>
                  </c:pt>
                  <c:pt idx="18">
                    <c:v>Garçons</c:v>
                  </c:pt>
                  <c:pt idx="19">
                    <c:v>Filles</c:v>
                  </c:pt>
                  <c:pt idx="20">
                    <c:v>Total</c:v>
                  </c:pt>
                  <c:pt idx="21">
                    <c:v>Garçons</c:v>
                  </c:pt>
                  <c:pt idx="22">
                    <c:v>Filles</c:v>
                  </c:pt>
                  <c:pt idx="23">
                    <c:v>Total</c:v>
                  </c:pt>
                </c:lvl>
                <c:lvl>
                  <c:pt idx="0">
                    <c:v>Moins de 9 ans</c:v>
                  </c:pt>
                  <c:pt idx="3">
                    <c:v>9 ans</c:v>
                  </c:pt>
                  <c:pt idx="6">
                    <c:v>10 ans</c:v>
                  </c:pt>
                  <c:pt idx="9">
                    <c:v>11 ans</c:v>
                  </c:pt>
                  <c:pt idx="12">
                    <c:v>12 ans</c:v>
                  </c:pt>
                  <c:pt idx="15">
                    <c:v>13 ans</c:v>
                  </c:pt>
                  <c:pt idx="18">
                    <c:v>14 ans</c:v>
                  </c:pt>
                  <c:pt idx="21">
                    <c:v>Plus de 14 ans</c:v>
                  </c:pt>
                </c:lvl>
              </c:multiLvlStrCache>
            </c:multiLvlStrRef>
          </c:cat>
          <c:val>
            <c:numRef>
              <c:f>Statistiques!$J$30:$AG$30</c:f>
            </c:numRef>
          </c:val>
        </c:ser>
        <c:ser>
          <c:idx val="28"/>
          <c:order val="2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Statistiques!$J$2:$AG$3</c:f>
              <c:multiLvlStrCache>
                <c:ptCount val="24"/>
                <c:lvl>
                  <c:pt idx="0">
                    <c:v>Garçons</c:v>
                  </c:pt>
                  <c:pt idx="1">
                    <c:v>Filles</c:v>
                  </c:pt>
                  <c:pt idx="2">
                    <c:v>Total</c:v>
                  </c:pt>
                  <c:pt idx="3">
                    <c:v>Garçons</c:v>
                  </c:pt>
                  <c:pt idx="4">
                    <c:v>Filles</c:v>
                  </c:pt>
                  <c:pt idx="5">
                    <c:v>Total</c:v>
                  </c:pt>
                  <c:pt idx="6">
                    <c:v>Garçons</c:v>
                  </c:pt>
                  <c:pt idx="7">
                    <c:v>Filles</c:v>
                  </c:pt>
                  <c:pt idx="8">
                    <c:v>Total</c:v>
                  </c:pt>
                  <c:pt idx="9">
                    <c:v>Garçons</c:v>
                  </c:pt>
                  <c:pt idx="10">
                    <c:v>Filles</c:v>
                  </c:pt>
                  <c:pt idx="11">
                    <c:v>Total</c:v>
                  </c:pt>
                  <c:pt idx="12">
                    <c:v>Garçons</c:v>
                  </c:pt>
                  <c:pt idx="13">
                    <c:v>Filles</c:v>
                  </c:pt>
                  <c:pt idx="14">
                    <c:v>Total</c:v>
                  </c:pt>
                  <c:pt idx="15">
                    <c:v>Garçons</c:v>
                  </c:pt>
                  <c:pt idx="16">
                    <c:v>Filles</c:v>
                  </c:pt>
                  <c:pt idx="17">
                    <c:v>Total</c:v>
                  </c:pt>
                  <c:pt idx="18">
                    <c:v>Garçons</c:v>
                  </c:pt>
                  <c:pt idx="19">
                    <c:v>Filles</c:v>
                  </c:pt>
                  <c:pt idx="20">
                    <c:v>Total</c:v>
                  </c:pt>
                  <c:pt idx="21">
                    <c:v>Garçons</c:v>
                  </c:pt>
                  <c:pt idx="22">
                    <c:v>Filles</c:v>
                  </c:pt>
                  <c:pt idx="23">
                    <c:v>Total</c:v>
                  </c:pt>
                </c:lvl>
                <c:lvl>
                  <c:pt idx="0">
                    <c:v>Moins de 9 ans</c:v>
                  </c:pt>
                  <c:pt idx="3">
                    <c:v>9 ans</c:v>
                  </c:pt>
                  <c:pt idx="6">
                    <c:v>10 ans</c:v>
                  </c:pt>
                  <c:pt idx="9">
                    <c:v>11 ans</c:v>
                  </c:pt>
                  <c:pt idx="12">
                    <c:v>12 ans</c:v>
                  </c:pt>
                  <c:pt idx="15">
                    <c:v>13 ans</c:v>
                  </c:pt>
                  <c:pt idx="18">
                    <c:v>14 ans</c:v>
                  </c:pt>
                  <c:pt idx="21">
                    <c:v>Plus de 14 ans</c:v>
                  </c:pt>
                </c:lvl>
              </c:multiLvlStrCache>
            </c:multiLvlStrRef>
          </c:cat>
          <c:val>
            <c:numRef>
              <c:f>Statistiques!$J$31:$AG$31</c:f>
            </c:numRef>
          </c:val>
        </c:ser>
        <c:ser>
          <c:idx val="29"/>
          <c:order val="2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Statistiques!$J$2:$AG$3</c:f>
              <c:multiLvlStrCache>
                <c:ptCount val="24"/>
                <c:lvl>
                  <c:pt idx="0">
                    <c:v>Garçons</c:v>
                  </c:pt>
                  <c:pt idx="1">
                    <c:v>Filles</c:v>
                  </c:pt>
                  <c:pt idx="2">
                    <c:v>Total</c:v>
                  </c:pt>
                  <c:pt idx="3">
                    <c:v>Garçons</c:v>
                  </c:pt>
                  <c:pt idx="4">
                    <c:v>Filles</c:v>
                  </c:pt>
                  <c:pt idx="5">
                    <c:v>Total</c:v>
                  </c:pt>
                  <c:pt idx="6">
                    <c:v>Garçons</c:v>
                  </c:pt>
                  <c:pt idx="7">
                    <c:v>Filles</c:v>
                  </c:pt>
                  <c:pt idx="8">
                    <c:v>Total</c:v>
                  </c:pt>
                  <c:pt idx="9">
                    <c:v>Garçons</c:v>
                  </c:pt>
                  <c:pt idx="10">
                    <c:v>Filles</c:v>
                  </c:pt>
                  <c:pt idx="11">
                    <c:v>Total</c:v>
                  </c:pt>
                  <c:pt idx="12">
                    <c:v>Garçons</c:v>
                  </c:pt>
                  <c:pt idx="13">
                    <c:v>Filles</c:v>
                  </c:pt>
                  <c:pt idx="14">
                    <c:v>Total</c:v>
                  </c:pt>
                  <c:pt idx="15">
                    <c:v>Garçons</c:v>
                  </c:pt>
                  <c:pt idx="16">
                    <c:v>Filles</c:v>
                  </c:pt>
                  <c:pt idx="17">
                    <c:v>Total</c:v>
                  </c:pt>
                  <c:pt idx="18">
                    <c:v>Garçons</c:v>
                  </c:pt>
                  <c:pt idx="19">
                    <c:v>Filles</c:v>
                  </c:pt>
                  <c:pt idx="20">
                    <c:v>Total</c:v>
                  </c:pt>
                  <c:pt idx="21">
                    <c:v>Garçons</c:v>
                  </c:pt>
                  <c:pt idx="22">
                    <c:v>Filles</c:v>
                  </c:pt>
                  <c:pt idx="23">
                    <c:v>Total</c:v>
                  </c:pt>
                </c:lvl>
                <c:lvl>
                  <c:pt idx="0">
                    <c:v>Moins de 9 ans</c:v>
                  </c:pt>
                  <c:pt idx="3">
                    <c:v>9 ans</c:v>
                  </c:pt>
                  <c:pt idx="6">
                    <c:v>10 ans</c:v>
                  </c:pt>
                  <c:pt idx="9">
                    <c:v>11 ans</c:v>
                  </c:pt>
                  <c:pt idx="12">
                    <c:v>12 ans</c:v>
                  </c:pt>
                  <c:pt idx="15">
                    <c:v>13 ans</c:v>
                  </c:pt>
                  <c:pt idx="18">
                    <c:v>14 ans</c:v>
                  </c:pt>
                  <c:pt idx="21">
                    <c:v>Plus de 14 ans</c:v>
                  </c:pt>
                </c:lvl>
              </c:multiLvlStrCache>
            </c:multiLvlStrRef>
          </c:cat>
          <c:val>
            <c:numRef>
              <c:f>Statistiques!$J$32:$AG$32</c:f>
            </c:numRef>
          </c:val>
        </c:ser>
        <c:ser>
          <c:idx val="30"/>
          <c:order val="29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Statistiques!$J$2:$AG$3</c:f>
              <c:multiLvlStrCache>
                <c:ptCount val="24"/>
                <c:lvl>
                  <c:pt idx="0">
                    <c:v>Garçons</c:v>
                  </c:pt>
                  <c:pt idx="1">
                    <c:v>Filles</c:v>
                  </c:pt>
                  <c:pt idx="2">
                    <c:v>Total</c:v>
                  </c:pt>
                  <c:pt idx="3">
                    <c:v>Garçons</c:v>
                  </c:pt>
                  <c:pt idx="4">
                    <c:v>Filles</c:v>
                  </c:pt>
                  <c:pt idx="5">
                    <c:v>Total</c:v>
                  </c:pt>
                  <c:pt idx="6">
                    <c:v>Garçons</c:v>
                  </c:pt>
                  <c:pt idx="7">
                    <c:v>Filles</c:v>
                  </c:pt>
                  <c:pt idx="8">
                    <c:v>Total</c:v>
                  </c:pt>
                  <c:pt idx="9">
                    <c:v>Garçons</c:v>
                  </c:pt>
                  <c:pt idx="10">
                    <c:v>Filles</c:v>
                  </c:pt>
                  <c:pt idx="11">
                    <c:v>Total</c:v>
                  </c:pt>
                  <c:pt idx="12">
                    <c:v>Garçons</c:v>
                  </c:pt>
                  <c:pt idx="13">
                    <c:v>Filles</c:v>
                  </c:pt>
                  <c:pt idx="14">
                    <c:v>Total</c:v>
                  </c:pt>
                  <c:pt idx="15">
                    <c:v>Garçons</c:v>
                  </c:pt>
                  <c:pt idx="16">
                    <c:v>Filles</c:v>
                  </c:pt>
                  <c:pt idx="17">
                    <c:v>Total</c:v>
                  </c:pt>
                  <c:pt idx="18">
                    <c:v>Garçons</c:v>
                  </c:pt>
                  <c:pt idx="19">
                    <c:v>Filles</c:v>
                  </c:pt>
                  <c:pt idx="20">
                    <c:v>Total</c:v>
                  </c:pt>
                  <c:pt idx="21">
                    <c:v>Garçons</c:v>
                  </c:pt>
                  <c:pt idx="22">
                    <c:v>Filles</c:v>
                  </c:pt>
                  <c:pt idx="23">
                    <c:v>Total</c:v>
                  </c:pt>
                </c:lvl>
                <c:lvl>
                  <c:pt idx="0">
                    <c:v>Moins de 9 ans</c:v>
                  </c:pt>
                  <c:pt idx="3">
                    <c:v>9 ans</c:v>
                  </c:pt>
                  <c:pt idx="6">
                    <c:v>10 ans</c:v>
                  </c:pt>
                  <c:pt idx="9">
                    <c:v>11 ans</c:v>
                  </c:pt>
                  <c:pt idx="12">
                    <c:v>12 ans</c:v>
                  </c:pt>
                  <c:pt idx="15">
                    <c:v>13 ans</c:v>
                  </c:pt>
                  <c:pt idx="18">
                    <c:v>14 ans</c:v>
                  </c:pt>
                  <c:pt idx="21">
                    <c:v>Plus de 14 ans</c:v>
                  </c:pt>
                </c:lvl>
              </c:multiLvlStrCache>
            </c:multiLvlStrRef>
          </c:cat>
          <c:val>
            <c:numRef>
              <c:f>Statistiques!$J$33:$AG$33</c:f>
            </c:numRef>
          </c:val>
        </c:ser>
        <c:ser>
          <c:idx val="31"/>
          <c:order val="3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Statistiques!$J$2:$AG$3</c:f>
              <c:multiLvlStrCache>
                <c:ptCount val="24"/>
                <c:lvl>
                  <c:pt idx="0">
                    <c:v>Garçons</c:v>
                  </c:pt>
                  <c:pt idx="1">
                    <c:v>Filles</c:v>
                  </c:pt>
                  <c:pt idx="2">
                    <c:v>Total</c:v>
                  </c:pt>
                  <c:pt idx="3">
                    <c:v>Garçons</c:v>
                  </c:pt>
                  <c:pt idx="4">
                    <c:v>Filles</c:v>
                  </c:pt>
                  <c:pt idx="5">
                    <c:v>Total</c:v>
                  </c:pt>
                  <c:pt idx="6">
                    <c:v>Garçons</c:v>
                  </c:pt>
                  <c:pt idx="7">
                    <c:v>Filles</c:v>
                  </c:pt>
                  <c:pt idx="8">
                    <c:v>Total</c:v>
                  </c:pt>
                  <c:pt idx="9">
                    <c:v>Garçons</c:v>
                  </c:pt>
                  <c:pt idx="10">
                    <c:v>Filles</c:v>
                  </c:pt>
                  <c:pt idx="11">
                    <c:v>Total</c:v>
                  </c:pt>
                  <c:pt idx="12">
                    <c:v>Garçons</c:v>
                  </c:pt>
                  <c:pt idx="13">
                    <c:v>Filles</c:v>
                  </c:pt>
                  <c:pt idx="14">
                    <c:v>Total</c:v>
                  </c:pt>
                  <c:pt idx="15">
                    <c:v>Garçons</c:v>
                  </c:pt>
                  <c:pt idx="16">
                    <c:v>Filles</c:v>
                  </c:pt>
                  <c:pt idx="17">
                    <c:v>Total</c:v>
                  </c:pt>
                  <c:pt idx="18">
                    <c:v>Garçons</c:v>
                  </c:pt>
                  <c:pt idx="19">
                    <c:v>Filles</c:v>
                  </c:pt>
                  <c:pt idx="20">
                    <c:v>Total</c:v>
                  </c:pt>
                  <c:pt idx="21">
                    <c:v>Garçons</c:v>
                  </c:pt>
                  <c:pt idx="22">
                    <c:v>Filles</c:v>
                  </c:pt>
                  <c:pt idx="23">
                    <c:v>Total</c:v>
                  </c:pt>
                </c:lvl>
                <c:lvl>
                  <c:pt idx="0">
                    <c:v>Moins de 9 ans</c:v>
                  </c:pt>
                  <c:pt idx="3">
                    <c:v>9 ans</c:v>
                  </c:pt>
                  <c:pt idx="6">
                    <c:v>10 ans</c:v>
                  </c:pt>
                  <c:pt idx="9">
                    <c:v>11 ans</c:v>
                  </c:pt>
                  <c:pt idx="12">
                    <c:v>12 ans</c:v>
                  </c:pt>
                  <c:pt idx="15">
                    <c:v>13 ans</c:v>
                  </c:pt>
                  <c:pt idx="18">
                    <c:v>14 ans</c:v>
                  </c:pt>
                  <c:pt idx="21">
                    <c:v>Plus de 14 ans</c:v>
                  </c:pt>
                </c:lvl>
              </c:multiLvlStrCache>
            </c:multiLvlStrRef>
          </c:cat>
          <c:val>
            <c:numRef>
              <c:f>Statistiques!$J$34:$AG$34</c:f>
            </c:numRef>
          </c:val>
        </c:ser>
        <c:ser>
          <c:idx val="32"/>
          <c:order val="3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Statistiques!$J$2:$AG$3</c:f>
              <c:multiLvlStrCache>
                <c:ptCount val="24"/>
                <c:lvl>
                  <c:pt idx="0">
                    <c:v>Garçons</c:v>
                  </c:pt>
                  <c:pt idx="1">
                    <c:v>Filles</c:v>
                  </c:pt>
                  <c:pt idx="2">
                    <c:v>Total</c:v>
                  </c:pt>
                  <c:pt idx="3">
                    <c:v>Garçons</c:v>
                  </c:pt>
                  <c:pt idx="4">
                    <c:v>Filles</c:v>
                  </c:pt>
                  <c:pt idx="5">
                    <c:v>Total</c:v>
                  </c:pt>
                  <c:pt idx="6">
                    <c:v>Garçons</c:v>
                  </c:pt>
                  <c:pt idx="7">
                    <c:v>Filles</c:v>
                  </c:pt>
                  <c:pt idx="8">
                    <c:v>Total</c:v>
                  </c:pt>
                  <c:pt idx="9">
                    <c:v>Garçons</c:v>
                  </c:pt>
                  <c:pt idx="10">
                    <c:v>Filles</c:v>
                  </c:pt>
                  <c:pt idx="11">
                    <c:v>Total</c:v>
                  </c:pt>
                  <c:pt idx="12">
                    <c:v>Garçons</c:v>
                  </c:pt>
                  <c:pt idx="13">
                    <c:v>Filles</c:v>
                  </c:pt>
                  <c:pt idx="14">
                    <c:v>Total</c:v>
                  </c:pt>
                  <c:pt idx="15">
                    <c:v>Garçons</c:v>
                  </c:pt>
                  <c:pt idx="16">
                    <c:v>Filles</c:v>
                  </c:pt>
                  <c:pt idx="17">
                    <c:v>Total</c:v>
                  </c:pt>
                  <c:pt idx="18">
                    <c:v>Garçons</c:v>
                  </c:pt>
                  <c:pt idx="19">
                    <c:v>Filles</c:v>
                  </c:pt>
                  <c:pt idx="20">
                    <c:v>Total</c:v>
                  </c:pt>
                  <c:pt idx="21">
                    <c:v>Garçons</c:v>
                  </c:pt>
                  <c:pt idx="22">
                    <c:v>Filles</c:v>
                  </c:pt>
                  <c:pt idx="23">
                    <c:v>Total</c:v>
                  </c:pt>
                </c:lvl>
                <c:lvl>
                  <c:pt idx="0">
                    <c:v>Moins de 9 ans</c:v>
                  </c:pt>
                  <c:pt idx="3">
                    <c:v>9 ans</c:v>
                  </c:pt>
                  <c:pt idx="6">
                    <c:v>10 ans</c:v>
                  </c:pt>
                  <c:pt idx="9">
                    <c:v>11 ans</c:v>
                  </c:pt>
                  <c:pt idx="12">
                    <c:v>12 ans</c:v>
                  </c:pt>
                  <c:pt idx="15">
                    <c:v>13 ans</c:v>
                  </c:pt>
                  <c:pt idx="18">
                    <c:v>14 ans</c:v>
                  </c:pt>
                  <c:pt idx="21">
                    <c:v>Plus de 14 ans</c:v>
                  </c:pt>
                </c:lvl>
              </c:multiLvlStrCache>
            </c:multiLvlStrRef>
          </c:cat>
          <c:val>
            <c:numRef>
              <c:f>Statistiques!$J$35:$AG$35</c:f>
            </c:numRef>
          </c:val>
        </c:ser>
        <c:ser>
          <c:idx val="33"/>
          <c:order val="3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Statistiques!$J$2:$AG$3</c:f>
              <c:multiLvlStrCache>
                <c:ptCount val="24"/>
                <c:lvl>
                  <c:pt idx="0">
                    <c:v>Garçons</c:v>
                  </c:pt>
                  <c:pt idx="1">
                    <c:v>Filles</c:v>
                  </c:pt>
                  <c:pt idx="2">
                    <c:v>Total</c:v>
                  </c:pt>
                  <c:pt idx="3">
                    <c:v>Garçons</c:v>
                  </c:pt>
                  <c:pt idx="4">
                    <c:v>Filles</c:v>
                  </c:pt>
                  <c:pt idx="5">
                    <c:v>Total</c:v>
                  </c:pt>
                  <c:pt idx="6">
                    <c:v>Garçons</c:v>
                  </c:pt>
                  <c:pt idx="7">
                    <c:v>Filles</c:v>
                  </c:pt>
                  <c:pt idx="8">
                    <c:v>Total</c:v>
                  </c:pt>
                  <c:pt idx="9">
                    <c:v>Garçons</c:v>
                  </c:pt>
                  <c:pt idx="10">
                    <c:v>Filles</c:v>
                  </c:pt>
                  <c:pt idx="11">
                    <c:v>Total</c:v>
                  </c:pt>
                  <c:pt idx="12">
                    <c:v>Garçons</c:v>
                  </c:pt>
                  <c:pt idx="13">
                    <c:v>Filles</c:v>
                  </c:pt>
                  <c:pt idx="14">
                    <c:v>Total</c:v>
                  </c:pt>
                  <c:pt idx="15">
                    <c:v>Garçons</c:v>
                  </c:pt>
                  <c:pt idx="16">
                    <c:v>Filles</c:v>
                  </c:pt>
                  <c:pt idx="17">
                    <c:v>Total</c:v>
                  </c:pt>
                  <c:pt idx="18">
                    <c:v>Garçons</c:v>
                  </c:pt>
                  <c:pt idx="19">
                    <c:v>Filles</c:v>
                  </c:pt>
                  <c:pt idx="20">
                    <c:v>Total</c:v>
                  </c:pt>
                  <c:pt idx="21">
                    <c:v>Garçons</c:v>
                  </c:pt>
                  <c:pt idx="22">
                    <c:v>Filles</c:v>
                  </c:pt>
                  <c:pt idx="23">
                    <c:v>Total</c:v>
                  </c:pt>
                </c:lvl>
                <c:lvl>
                  <c:pt idx="0">
                    <c:v>Moins de 9 ans</c:v>
                  </c:pt>
                  <c:pt idx="3">
                    <c:v>9 ans</c:v>
                  </c:pt>
                  <c:pt idx="6">
                    <c:v>10 ans</c:v>
                  </c:pt>
                  <c:pt idx="9">
                    <c:v>11 ans</c:v>
                  </c:pt>
                  <c:pt idx="12">
                    <c:v>12 ans</c:v>
                  </c:pt>
                  <c:pt idx="15">
                    <c:v>13 ans</c:v>
                  </c:pt>
                  <c:pt idx="18">
                    <c:v>14 ans</c:v>
                  </c:pt>
                  <c:pt idx="21">
                    <c:v>Plus de 14 ans</c:v>
                  </c:pt>
                </c:lvl>
              </c:multiLvlStrCache>
            </c:multiLvlStrRef>
          </c:cat>
          <c:val>
            <c:numRef>
              <c:f>Statistiques!$J$36:$AG$36</c:f>
            </c:numRef>
          </c:val>
        </c:ser>
        <c:ser>
          <c:idx val="34"/>
          <c:order val="3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Statistiques!$J$2:$AG$3</c:f>
              <c:multiLvlStrCache>
                <c:ptCount val="24"/>
                <c:lvl>
                  <c:pt idx="0">
                    <c:v>Garçons</c:v>
                  </c:pt>
                  <c:pt idx="1">
                    <c:v>Filles</c:v>
                  </c:pt>
                  <c:pt idx="2">
                    <c:v>Total</c:v>
                  </c:pt>
                  <c:pt idx="3">
                    <c:v>Garçons</c:v>
                  </c:pt>
                  <c:pt idx="4">
                    <c:v>Filles</c:v>
                  </c:pt>
                  <c:pt idx="5">
                    <c:v>Total</c:v>
                  </c:pt>
                  <c:pt idx="6">
                    <c:v>Garçons</c:v>
                  </c:pt>
                  <c:pt idx="7">
                    <c:v>Filles</c:v>
                  </c:pt>
                  <c:pt idx="8">
                    <c:v>Total</c:v>
                  </c:pt>
                  <c:pt idx="9">
                    <c:v>Garçons</c:v>
                  </c:pt>
                  <c:pt idx="10">
                    <c:v>Filles</c:v>
                  </c:pt>
                  <c:pt idx="11">
                    <c:v>Total</c:v>
                  </c:pt>
                  <c:pt idx="12">
                    <c:v>Garçons</c:v>
                  </c:pt>
                  <c:pt idx="13">
                    <c:v>Filles</c:v>
                  </c:pt>
                  <c:pt idx="14">
                    <c:v>Total</c:v>
                  </c:pt>
                  <c:pt idx="15">
                    <c:v>Garçons</c:v>
                  </c:pt>
                  <c:pt idx="16">
                    <c:v>Filles</c:v>
                  </c:pt>
                  <c:pt idx="17">
                    <c:v>Total</c:v>
                  </c:pt>
                  <c:pt idx="18">
                    <c:v>Garçons</c:v>
                  </c:pt>
                  <c:pt idx="19">
                    <c:v>Filles</c:v>
                  </c:pt>
                  <c:pt idx="20">
                    <c:v>Total</c:v>
                  </c:pt>
                  <c:pt idx="21">
                    <c:v>Garçons</c:v>
                  </c:pt>
                  <c:pt idx="22">
                    <c:v>Filles</c:v>
                  </c:pt>
                  <c:pt idx="23">
                    <c:v>Total</c:v>
                  </c:pt>
                </c:lvl>
                <c:lvl>
                  <c:pt idx="0">
                    <c:v>Moins de 9 ans</c:v>
                  </c:pt>
                  <c:pt idx="3">
                    <c:v>9 ans</c:v>
                  </c:pt>
                  <c:pt idx="6">
                    <c:v>10 ans</c:v>
                  </c:pt>
                  <c:pt idx="9">
                    <c:v>11 ans</c:v>
                  </c:pt>
                  <c:pt idx="12">
                    <c:v>12 ans</c:v>
                  </c:pt>
                  <c:pt idx="15">
                    <c:v>13 ans</c:v>
                  </c:pt>
                  <c:pt idx="18">
                    <c:v>14 ans</c:v>
                  </c:pt>
                  <c:pt idx="21">
                    <c:v>Plus de 14 ans</c:v>
                  </c:pt>
                </c:lvl>
              </c:multiLvlStrCache>
            </c:multiLvlStrRef>
          </c:cat>
          <c:val>
            <c:numRef>
              <c:f>Statistiques!$J$37:$AG$37</c:f>
            </c:numRef>
          </c:val>
        </c:ser>
        <c:ser>
          <c:idx val="35"/>
          <c:order val="3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Statistiques!$J$2:$AG$3</c:f>
              <c:multiLvlStrCache>
                <c:ptCount val="24"/>
                <c:lvl>
                  <c:pt idx="0">
                    <c:v>Garçons</c:v>
                  </c:pt>
                  <c:pt idx="1">
                    <c:v>Filles</c:v>
                  </c:pt>
                  <c:pt idx="2">
                    <c:v>Total</c:v>
                  </c:pt>
                  <c:pt idx="3">
                    <c:v>Garçons</c:v>
                  </c:pt>
                  <c:pt idx="4">
                    <c:v>Filles</c:v>
                  </c:pt>
                  <c:pt idx="5">
                    <c:v>Total</c:v>
                  </c:pt>
                  <c:pt idx="6">
                    <c:v>Garçons</c:v>
                  </c:pt>
                  <c:pt idx="7">
                    <c:v>Filles</c:v>
                  </c:pt>
                  <c:pt idx="8">
                    <c:v>Total</c:v>
                  </c:pt>
                  <c:pt idx="9">
                    <c:v>Garçons</c:v>
                  </c:pt>
                  <c:pt idx="10">
                    <c:v>Filles</c:v>
                  </c:pt>
                  <c:pt idx="11">
                    <c:v>Total</c:v>
                  </c:pt>
                  <c:pt idx="12">
                    <c:v>Garçons</c:v>
                  </c:pt>
                  <c:pt idx="13">
                    <c:v>Filles</c:v>
                  </c:pt>
                  <c:pt idx="14">
                    <c:v>Total</c:v>
                  </c:pt>
                  <c:pt idx="15">
                    <c:v>Garçons</c:v>
                  </c:pt>
                  <c:pt idx="16">
                    <c:v>Filles</c:v>
                  </c:pt>
                  <c:pt idx="17">
                    <c:v>Total</c:v>
                  </c:pt>
                  <c:pt idx="18">
                    <c:v>Garçons</c:v>
                  </c:pt>
                  <c:pt idx="19">
                    <c:v>Filles</c:v>
                  </c:pt>
                  <c:pt idx="20">
                    <c:v>Total</c:v>
                  </c:pt>
                  <c:pt idx="21">
                    <c:v>Garçons</c:v>
                  </c:pt>
                  <c:pt idx="22">
                    <c:v>Filles</c:v>
                  </c:pt>
                  <c:pt idx="23">
                    <c:v>Total</c:v>
                  </c:pt>
                </c:lvl>
                <c:lvl>
                  <c:pt idx="0">
                    <c:v>Moins de 9 ans</c:v>
                  </c:pt>
                  <c:pt idx="3">
                    <c:v>9 ans</c:v>
                  </c:pt>
                  <c:pt idx="6">
                    <c:v>10 ans</c:v>
                  </c:pt>
                  <c:pt idx="9">
                    <c:v>11 ans</c:v>
                  </c:pt>
                  <c:pt idx="12">
                    <c:v>12 ans</c:v>
                  </c:pt>
                  <c:pt idx="15">
                    <c:v>13 ans</c:v>
                  </c:pt>
                  <c:pt idx="18">
                    <c:v>14 ans</c:v>
                  </c:pt>
                  <c:pt idx="21">
                    <c:v>Plus de 14 ans</c:v>
                  </c:pt>
                </c:lvl>
              </c:multiLvlStrCache>
            </c:multiLvlStrRef>
          </c:cat>
          <c:val>
            <c:numRef>
              <c:f>Statistiques!$J$38:$AG$38</c:f>
            </c:numRef>
          </c:val>
        </c:ser>
        <c:ser>
          <c:idx val="36"/>
          <c:order val="3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Statistiques!$J$2:$AG$3</c:f>
              <c:multiLvlStrCache>
                <c:ptCount val="24"/>
                <c:lvl>
                  <c:pt idx="0">
                    <c:v>Garçons</c:v>
                  </c:pt>
                  <c:pt idx="1">
                    <c:v>Filles</c:v>
                  </c:pt>
                  <c:pt idx="2">
                    <c:v>Total</c:v>
                  </c:pt>
                  <c:pt idx="3">
                    <c:v>Garçons</c:v>
                  </c:pt>
                  <c:pt idx="4">
                    <c:v>Filles</c:v>
                  </c:pt>
                  <c:pt idx="5">
                    <c:v>Total</c:v>
                  </c:pt>
                  <c:pt idx="6">
                    <c:v>Garçons</c:v>
                  </c:pt>
                  <c:pt idx="7">
                    <c:v>Filles</c:v>
                  </c:pt>
                  <c:pt idx="8">
                    <c:v>Total</c:v>
                  </c:pt>
                  <c:pt idx="9">
                    <c:v>Garçons</c:v>
                  </c:pt>
                  <c:pt idx="10">
                    <c:v>Filles</c:v>
                  </c:pt>
                  <c:pt idx="11">
                    <c:v>Total</c:v>
                  </c:pt>
                  <c:pt idx="12">
                    <c:v>Garçons</c:v>
                  </c:pt>
                  <c:pt idx="13">
                    <c:v>Filles</c:v>
                  </c:pt>
                  <c:pt idx="14">
                    <c:v>Total</c:v>
                  </c:pt>
                  <c:pt idx="15">
                    <c:v>Garçons</c:v>
                  </c:pt>
                  <c:pt idx="16">
                    <c:v>Filles</c:v>
                  </c:pt>
                  <c:pt idx="17">
                    <c:v>Total</c:v>
                  </c:pt>
                  <c:pt idx="18">
                    <c:v>Garçons</c:v>
                  </c:pt>
                  <c:pt idx="19">
                    <c:v>Filles</c:v>
                  </c:pt>
                  <c:pt idx="20">
                    <c:v>Total</c:v>
                  </c:pt>
                  <c:pt idx="21">
                    <c:v>Garçons</c:v>
                  </c:pt>
                  <c:pt idx="22">
                    <c:v>Filles</c:v>
                  </c:pt>
                  <c:pt idx="23">
                    <c:v>Total</c:v>
                  </c:pt>
                </c:lvl>
                <c:lvl>
                  <c:pt idx="0">
                    <c:v>Moins de 9 ans</c:v>
                  </c:pt>
                  <c:pt idx="3">
                    <c:v>9 ans</c:v>
                  </c:pt>
                  <c:pt idx="6">
                    <c:v>10 ans</c:v>
                  </c:pt>
                  <c:pt idx="9">
                    <c:v>11 ans</c:v>
                  </c:pt>
                  <c:pt idx="12">
                    <c:v>12 ans</c:v>
                  </c:pt>
                  <c:pt idx="15">
                    <c:v>13 ans</c:v>
                  </c:pt>
                  <c:pt idx="18">
                    <c:v>14 ans</c:v>
                  </c:pt>
                  <c:pt idx="21">
                    <c:v>Plus de 14 ans</c:v>
                  </c:pt>
                </c:lvl>
              </c:multiLvlStrCache>
            </c:multiLvlStrRef>
          </c:cat>
          <c:val>
            <c:numRef>
              <c:f>Statistiques!$J$39:$AG$39</c:f>
            </c:numRef>
          </c:val>
        </c:ser>
        <c:ser>
          <c:idx val="37"/>
          <c:order val="3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Statistiques!$J$2:$AG$3</c:f>
              <c:multiLvlStrCache>
                <c:ptCount val="24"/>
                <c:lvl>
                  <c:pt idx="0">
                    <c:v>Garçons</c:v>
                  </c:pt>
                  <c:pt idx="1">
                    <c:v>Filles</c:v>
                  </c:pt>
                  <c:pt idx="2">
                    <c:v>Total</c:v>
                  </c:pt>
                  <c:pt idx="3">
                    <c:v>Garçons</c:v>
                  </c:pt>
                  <c:pt idx="4">
                    <c:v>Filles</c:v>
                  </c:pt>
                  <c:pt idx="5">
                    <c:v>Total</c:v>
                  </c:pt>
                  <c:pt idx="6">
                    <c:v>Garçons</c:v>
                  </c:pt>
                  <c:pt idx="7">
                    <c:v>Filles</c:v>
                  </c:pt>
                  <c:pt idx="8">
                    <c:v>Total</c:v>
                  </c:pt>
                  <c:pt idx="9">
                    <c:v>Garçons</c:v>
                  </c:pt>
                  <c:pt idx="10">
                    <c:v>Filles</c:v>
                  </c:pt>
                  <c:pt idx="11">
                    <c:v>Total</c:v>
                  </c:pt>
                  <c:pt idx="12">
                    <c:v>Garçons</c:v>
                  </c:pt>
                  <c:pt idx="13">
                    <c:v>Filles</c:v>
                  </c:pt>
                  <c:pt idx="14">
                    <c:v>Total</c:v>
                  </c:pt>
                  <c:pt idx="15">
                    <c:v>Garçons</c:v>
                  </c:pt>
                  <c:pt idx="16">
                    <c:v>Filles</c:v>
                  </c:pt>
                  <c:pt idx="17">
                    <c:v>Total</c:v>
                  </c:pt>
                  <c:pt idx="18">
                    <c:v>Garçons</c:v>
                  </c:pt>
                  <c:pt idx="19">
                    <c:v>Filles</c:v>
                  </c:pt>
                  <c:pt idx="20">
                    <c:v>Total</c:v>
                  </c:pt>
                  <c:pt idx="21">
                    <c:v>Garçons</c:v>
                  </c:pt>
                  <c:pt idx="22">
                    <c:v>Filles</c:v>
                  </c:pt>
                  <c:pt idx="23">
                    <c:v>Total</c:v>
                  </c:pt>
                </c:lvl>
                <c:lvl>
                  <c:pt idx="0">
                    <c:v>Moins de 9 ans</c:v>
                  </c:pt>
                  <c:pt idx="3">
                    <c:v>9 ans</c:v>
                  </c:pt>
                  <c:pt idx="6">
                    <c:v>10 ans</c:v>
                  </c:pt>
                  <c:pt idx="9">
                    <c:v>11 ans</c:v>
                  </c:pt>
                  <c:pt idx="12">
                    <c:v>12 ans</c:v>
                  </c:pt>
                  <c:pt idx="15">
                    <c:v>13 ans</c:v>
                  </c:pt>
                  <c:pt idx="18">
                    <c:v>14 ans</c:v>
                  </c:pt>
                  <c:pt idx="21">
                    <c:v>Plus de 14 ans</c:v>
                  </c:pt>
                </c:lvl>
              </c:multiLvlStrCache>
            </c:multiLvlStrRef>
          </c:cat>
          <c:val>
            <c:numRef>
              <c:f>Statistiques!$J$40:$AG$40</c:f>
            </c:numRef>
          </c:val>
        </c:ser>
        <c:ser>
          <c:idx val="38"/>
          <c:order val="3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Statistiques!$J$2:$AG$3</c:f>
              <c:multiLvlStrCache>
                <c:ptCount val="24"/>
                <c:lvl>
                  <c:pt idx="0">
                    <c:v>Garçons</c:v>
                  </c:pt>
                  <c:pt idx="1">
                    <c:v>Filles</c:v>
                  </c:pt>
                  <c:pt idx="2">
                    <c:v>Total</c:v>
                  </c:pt>
                  <c:pt idx="3">
                    <c:v>Garçons</c:v>
                  </c:pt>
                  <c:pt idx="4">
                    <c:v>Filles</c:v>
                  </c:pt>
                  <c:pt idx="5">
                    <c:v>Total</c:v>
                  </c:pt>
                  <c:pt idx="6">
                    <c:v>Garçons</c:v>
                  </c:pt>
                  <c:pt idx="7">
                    <c:v>Filles</c:v>
                  </c:pt>
                  <c:pt idx="8">
                    <c:v>Total</c:v>
                  </c:pt>
                  <c:pt idx="9">
                    <c:v>Garçons</c:v>
                  </c:pt>
                  <c:pt idx="10">
                    <c:v>Filles</c:v>
                  </c:pt>
                  <c:pt idx="11">
                    <c:v>Total</c:v>
                  </c:pt>
                  <c:pt idx="12">
                    <c:v>Garçons</c:v>
                  </c:pt>
                  <c:pt idx="13">
                    <c:v>Filles</c:v>
                  </c:pt>
                  <c:pt idx="14">
                    <c:v>Total</c:v>
                  </c:pt>
                  <c:pt idx="15">
                    <c:v>Garçons</c:v>
                  </c:pt>
                  <c:pt idx="16">
                    <c:v>Filles</c:v>
                  </c:pt>
                  <c:pt idx="17">
                    <c:v>Total</c:v>
                  </c:pt>
                  <c:pt idx="18">
                    <c:v>Garçons</c:v>
                  </c:pt>
                  <c:pt idx="19">
                    <c:v>Filles</c:v>
                  </c:pt>
                  <c:pt idx="20">
                    <c:v>Total</c:v>
                  </c:pt>
                  <c:pt idx="21">
                    <c:v>Garçons</c:v>
                  </c:pt>
                  <c:pt idx="22">
                    <c:v>Filles</c:v>
                  </c:pt>
                  <c:pt idx="23">
                    <c:v>Total</c:v>
                  </c:pt>
                </c:lvl>
                <c:lvl>
                  <c:pt idx="0">
                    <c:v>Moins de 9 ans</c:v>
                  </c:pt>
                  <c:pt idx="3">
                    <c:v>9 ans</c:v>
                  </c:pt>
                  <c:pt idx="6">
                    <c:v>10 ans</c:v>
                  </c:pt>
                  <c:pt idx="9">
                    <c:v>11 ans</c:v>
                  </c:pt>
                  <c:pt idx="12">
                    <c:v>12 ans</c:v>
                  </c:pt>
                  <c:pt idx="15">
                    <c:v>13 ans</c:v>
                  </c:pt>
                  <c:pt idx="18">
                    <c:v>14 ans</c:v>
                  </c:pt>
                  <c:pt idx="21">
                    <c:v>Plus de 14 ans</c:v>
                  </c:pt>
                </c:lvl>
              </c:multiLvlStrCache>
            </c:multiLvlStrRef>
          </c:cat>
          <c:val>
            <c:numRef>
              <c:f>Statistiques!$J$41:$AG$41</c:f>
            </c:numRef>
          </c:val>
        </c:ser>
        <c:ser>
          <c:idx val="39"/>
          <c:order val="3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Statistiques!$J$2:$AG$3</c:f>
              <c:multiLvlStrCache>
                <c:ptCount val="24"/>
                <c:lvl>
                  <c:pt idx="0">
                    <c:v>Garçons</c:v>
                  </c:pt>
                  <c:pt idx="1">
                    <c:v>Filles</c:v>
                  </c:pt>
                  <c:pt idx="2">
                    <c:v>Total</c:v>
                  </c:pt>
                  <c:pt idx="3">
                    <c:v>Garçons</c:v>
                  </c:pt>
                  <c:pt idx="4">
                    <c:v>Filles</c:v>
                  </c:pt>
                  <c:pt idx="5">
                    <c:v>Total</c:v>
                  </c:pt>
                  <c:pt idx="6">
                    <c:v>Garçons</c:v>
                  </c:pt>
                  <c:pt idx="7">
                    <c:v>Filles</c:v>
                  </c:pt>
                  <c:pt idx="8">
                    <c:v>Total</c:v>
                  </c:pt>
                  <c:pt idx="9">
                    <c:v>Garçons</c:v>
                  </c:pt>
                  <c:pt idx="10">
                    <c:v>Filles</c:v>
                  </c:pt>
                  <c:pt idx="11">
                    <c:v>Total</c:v>
                  </c:pt>
                  <c:pt idx="12">
                    <c:v>Garçons</c:v>
                  </c:pt>
                  <c:pt idx="13">
                    <c:v>Filles</c:v>
                  </c:pt>
                  <c:pt idx="14">
                    <c:v>Total</c:v>
                  </c:pt>
                  <c:pt idx="15">
                    <c:v>Garçons</c:v>
                  </c:pt>
                  <c:pt idx="16">
                    <c:v>Filles</c:v>
                  </c:pt>
                  <c:pt idx="17">
                    <c:v>Total</c:v>
                  </c:pt>
                  <c:pt idx="18">
                    <c:v>Garçons</c:v>
                  </c:pt>
                  <c:pt idx="19">
                    <c:v>Filles</c:v>
                  </c:pt>
                  <c:pt idx="20">
                    <c:v>Total</c:v>
                  </c:pt>
                  <c:pt idx="21">
                    <c:v>Garçons</c:v>
                  </c:pt>
                  <c:pt idx="22">
                    <c:v>Filles</c:v>
                  </c:pt>
                  <c:pt idx="23">
                    <c:v>Total</c:v>
                  </c:pt>
                </c:lvl>
                <c:lvl>
                  <c:pt idx="0">
                    <c:v>Moins de 9 ans</c:v>
                  </c:pt>
                  <c:pt idx="3">
                    <c:v>9 ans</c:v>
                  </c:pt>
                  <c:pt idx="6">
                    <c:v>10 ans</c:v>
                  </c:pt>
                  <c:pt idx="9">
                    <c:v>11 ans</c:v>
                  </c:pt>
                  <c:pt idx="12">
                    <c:v>12 ans</c:v>
                  </c:pt>
                  <c:pt idx="15">
                    <c:v>13 ans</c:v>
                  </c:pt>
                  <c:pt idx="18">
                    <c:v>14 ans</c:v>
                  </c:pt>
                  <c:pt idx="21">
                    <c:v>Plus de 14 ans</c:v>
                  </c:pt>
                </c:lvl>
              </c:multiLvlStrCache>
            </c:multiLvlStrRef>
          </c:cat>
          <c:val>
            <c:numRef>
              <c:f>Statistiques!$J$42:$AG$42</c:f>
            </c:numRef>
          </c:val>
        </c:ser>
        <c:ser>
          <c:idx val="40"/>
          <c:order val="39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Statistiques!$J$2:$AG$3</c:f>
              <c:multiLvlStrCache>
                <c:ptCount val="24"/>
                <c:lvl>
                  <c:pt idx="0">
                    <c:v>Garçons</c:v>
                  </c:pt>
                  <c:pt idx="1">
                    <c:v>Filles</c:v>
                  </c:pt>
                  <c:pt idx="2">
                    <c:v>Total</c:v>
                  </c:pt>
                  <c:pt idx="3">
                    <c:v>Garçons</c:v>
                  </c:pt>
                  <c:pt idx="4">
                    <c:v>Filles</c:v>
                  </c:pt>
                  <c:pt idx="5">
                    <c:v>Total</c:v>
                  </c:pt>
                  <c:pt idx="6">
                    <c:v>Garçons</c:v>
                  </c:pt>
                  <c:pt idx="7">
                    <c:v>Filles</c:v>
                  </c:pt>
                  <c:pt idx="8">
                    <c:v>Total</c:v>
                  </c:pt>
                  <c:pt idx="9">
                    <c:v>Garçons</c:v>
                  </c:pt>
                  <c:pt idx="10">
                    <c:v>Filles</c:v>
                  </c:pt>
                  <c:pt idx="11">
                    <c:v>Total</c:v>
                  </c:pt>
                  <c:pt idx="12">
                    <c:v>Garçons</c:v>
                  </c:pt>
                  <c:pt idx="13">
                    <c:v>Filles</c:v>
                  </c:pt>
                  <c:pt idx="14">
                    <c:v>Total</c:v>
                  </c:pt>
                  <c:pt idx="15">
                    <c:v>Garçons</c:v>
                  </c:pt>
                  <c:pt idx="16">
                    <c:v>Filles</c:v>
                  </c:pt>
                  <c:pt idx="17">
                    <c:v>Total</c:v>
                  </c:pt>
                  <c:pt idx="18">
                    <c:v>Garçons</c:v>
                  </c:pt>
                  <c:pt idx="19">
                    <c:v>Filles</c:v>
                  </c:pt>
                  <c:pt idx="20">
                    <c:v>Total</c:v>
                  </c:pt>
                  <c:pt idx="21">
                    <c:v>Garçons</c:v>
                  </c:pt>
                  <c:pt idx="22">
                    <c:v>Filles</c:v>
                  </c:pt>
                  <c:pt idx="23">
                    <c:v>Total</c:v>
                  </c:pt>
                </c:lvl>
                <c:lvl>
                  <c:pt idx="0">
                    <c:v>Moins de 9 ans</c:v>
                  </c:pt>
                  <c:pt idx="3">
                    <c:v>9 ans</c:v>
                  </c:pt>
                  <c:pt idx="6">
                    <c:v>10 ans</c:v>
                  </c:pt>
                  <c:pt idx="9">
                    <c:v>11 ans</c:v>
                  </c:pt>
                  <c:pt idx="12">
                    <c:v>12 ans</c:v>
                  </c:pt>
                  <c:pt idx="15">
                    <c:v>13 ans</c:v>
                  </c:pt>
                  <c:pt idx="18">
                    <c:v>14 ans</c:v>
                  </c:pt>
                  <c:pt idx="21">
                    <c:v>Plus de 14 ans</c:v>
                  </c:pt>
                </c:lvl>
              </c:multiLvlStrCache>
            </c:multiLvlStrRef>
          </c:cat>
          <c:val>
            <c:numRef>
              <c:f>Statistiques!$J$43:$AG$43</c:f>
            </c:numRef>
          </c:val>
        </c:ser>
        <c:ser>
          <c:idx val="41"/>
          <c:order val="4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Statistiques!$J$2:$AG$3</c:f>
              <c:multiLvlStrCache>
                <c:ptCount val="24"/>
                <c:lvl>
                  <c:pt idx="0">
                    <c:v>Garçons</c:v>
                  </c:pt>
                  <c:pt idx="1">
                    <c:v>Filles</c:v>
                  </c:pt>
                  <c:pt idx="2">
                    <c:v>Total</c:v>
                  </c:pt>
                  <c:pt idx="3">
                    <c:v>Garçons</c:v>
                  </c:pt>
                  <c:pt idx="4">
                    <c:v>Filles</c:v>
                  </c:pt>
                  <c:pt idx="5">
                    <c:v>Total</c:v>
                  </c:pt>
                  <c:pt idx="6">
                    <c:v>Garçons</c:v>
                  </c:pt>
                  <c:pt idx="7">
                    <c:v>Filles</c:v>
                  </c:pt>
                  <c:pt idx="8">
                    <c:v>Total</c:v>
                  </c:pt>
                  <c:pt idx="9">
                    <c:v>Garçons</c:v>
                  </c:pt>
                  <c:pt idx="10">
                    <c:v>Filles</c:v>
                  </c:pt>
                  <c:pt idx="11">
                    <c:v>Total</c:v>
                  </c:pt>
                  <c:pt idx="12">
                    <c:v>Garçons</c:v>
                  </c:pt>
                  <c:pt idx="13">
                    <c:v>Filles</c:v>
                  </c:pt>
                  <c:pt idx="14">
                    <c:v>Total</c:v>
                  </c:pt>
                  <c:pt idx="15">
                    <c:v>Garçons</c:v>
                  </c:pt>
                  <c:pt idx="16">
                    <c:v>Filles</c:v>
                  </c:pt>
                  <c:pt idx="17">
                    <c:v>Total</c:v>
                  </c:pt>
                  <c:pt idx="18">
                    <c:v>Garçons</c:v>
                  </c:pt>
                  <c:pt idx="19">
                    <c:v>Filles</c:v>
                  </c:pt>
                  <c:pt idx="20">
                    <c:v>Total</c:v>
                  </c:pt>
                  <c:pt idx="21">
                    <c:v>Garçons</c:v>
                  </c:pt>
                  <c:pt idx="22">
                    <c:v>Filles</c:v>
                  </c:pt>
                  <c:pt idx="23">
                    <c:v>Total</c:v>
                  </c:pt>
                </c:lvl>
                <c:lvl>
                  <c:pt idx="0">
                    <c:v>Moins de 9 ans</c:v>
                  </c:pt>
                  <c:pt idx="3">
                    <c:v>9 ans</c:v>
                  </c:pt>
                  <c:pt idx="6">
                    <c:v>10 ans</c:v>
                  </c:pt>
                  <c:pt idx="9">
                    <c:v>11 ans</c:v>
                  </c:pt>
                  <c:pt idx="12">
                    <c:v>12 ans</c:v>
                  </c:pt>
                  <c:pt idx="15">
                    <c:v>13 ans</c:v>
                  </c:pt>
                  <c:pt idx="18">
                    <c:v>14 ans</c:v>
                  </c:pt>
                  <c:pt idx="21">
                    <c:v>Plus de 14 ans</c:v>
                  </c:pt>
                </c:lvl>
              </c:multiLvlStrCache>
            </c:multiLvlStrRef>
          </c:cat>
          <c:val>
            <c:numRef>
              <c:f>Statistiques!$J$44:$AG$44</c:f>
            </c:numRef>
          </c:val>
        </c:ser>
        <c:ser>
          <c:idx val="42"/>
          <c:order val="4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Statistiques!$J$2:$AG$3</c:f>
              <c:multiLvlStrCache>
                <c:ptCount val="24"/>
                <c:lvl>
                  <c:pt idx="0">
                    <c:v>Garçons</c:v>
                  </c:pt>
                  <c:pt idx="1">
                    <c:v>Filles</c:v>
                  </c:pt>
                  <c:pt idx="2">
                    <c:v>Total</c:v>
                  </c:pt>
                  <c:pt idx="3">
                    <c:v>Garçons</c:v>
                  </c:pt>
                  <c:pt idx="4">
                    <c:v>Filles</c:v>
                  </c:pt>
                  <c:pt idx="5">
                    <c:v>Total</c:v>
                  </c:pt>
                  <c:pt idx="6">
                    <c:v>Garçons</c:v>
                  </c:pt>
                  <c:pt idx="7">
                    <c:v>Filles</c:v>
                  </c:pt>
                  <c:pt idx="8">
                    <c:v>Total</c:v>
                  </c:pt>
                  <c:pt idx="9">
                    <c:v>Garçons</c:v>
                  </c:pt>
                  <c:pt idx="10">
                    <c:v>Filles</c:v>
                  </c:pt>
                  <c:pt idx="11">
                    <c:v>Total</c:v>
                  </c:pt>
                  <c:pt idx="12">
                    <c:v>Garçons</c:v>
                  </c:pt>
                  <c:pt idx="13">
                    <c:v>Filles</c:v>
                  </c:pt>
                  <c:pt idx="14">
                    <c:v>Total</c:v>
                  </c:pt>
                  <c:pt idx="15">
                    <c:v>Garçons</c:v>
                  </c:pt>
                  <c:pt idx="16">
                    <c:v>Filles</c:v>
                  </c:pt>
                  <c:pt idx="17">
                    <c:v>Total</c:v>
                  </c:pt>
                  <c:pt idx="18">
                    <c:v>Garçons</c:v>
                  </c:pt>
                  <c:pt idx="19">
                    <c:v>Filles</c:v>
                  </c:pt>
                  <c:pt idx="20">
                    <c:v>Total</c:v>
                  </c:pt>
                  <c:pt idx="21">
                    <c:v>Garçons</c:v>
                  </c:pt>
                  <c:pt idx="22">
                    <c:v>Filles</c:v>
                  </c:pt>
                  <c:pt idx="23">
                    <c:v>Total</c:v>
                  </c:pt>
                </c:lvl>
                <c:lvl>
                  <c:pt idx="0">
                    <c:v>Moins de 9 ans</c:v>
                  </c:pt>
                  <c:pt idx="3">
                    <c:v>9 ans</c:v>
                  </c:pt>
                  <c:pt idx="6">
                    <c:v>10 ans</c:v>
                  </c:pt>
                  <c:pt idx="9">
                    <c:v>11 ans</c:v>
                  </c:pt>
                  <c:pt idx="12">
                    <c:v>12 ans</c:v>
                  </c:pt>
                  <c:pt idx="15">
                    <c:v>13 ans</c:v>
                  </c:pt>
                  <c:pt idx="18">
                    <c:v>14 ans</c:v>
                  </c:pt>
                  <c:pt idx="21">
                    <c:v>Plus de 14 ans</c:v>
                  </c:pt>
                </c:lvl>
              </c:multiLvlStrCache>
            </c:multiLvlStrRef>
          </c:cat>
          <c:val>
            <c:numRef>
              <c:f>Statistiques!$J$45:$AG$45</c:f>
            </c:numRef>
          </c:val>
        </c:ser>
        <c:ser>
          <c:idx val="43"/>
          <c:order val="4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Statistiques!$J$2:$AG$3</c:f>
              <c:multiLvlStrCache>
                <c:ptCount val="24"/>
                <c:lvl>
                  <c:pt idx="0">
                    <c:v>Garçons</c:v>
                  </c:pt>
                  <c:pt idx="1">
                    <c:v>Filles</c:v>
                  </c:pt>
                  <c:pt idx="2">
                    <c:v>Total</c:v>
                  </c:pt>
                  <c:pt idx="3">
                    <c:v>Garçons</c:v>
                  </c:pt>
                  <c:pt idx="4">
                    <c:v>Filles</c:v>
                  </c:pt>
                  <c:pt idx="5">
                    <c:v>Total</c:v>
                  </c:pt>
                  <c:pt idx="6">
                    <c:v>Garçons</c:v>
                  </c:pt>
                  <c:pt idx="7">
                    <c:v>Filles</c:v>
                  </c:pt>
                  <c:pt idx="8">
                    <c:v>Total</c:v>
                  </c:pt>
                  <c:pt idx="9">
                    <c:v>Garçons</c:v>
                  </c:pt>
                  <c:pt idx="10">
                    <c:v>Filles</c:v>
                  </c:pt>
                  <c:pt idx="11">
                    <c:v>Total</c:v>
                  </c:pt>
                  <c:pt idx="12">
                    <c:v>Garçons</c:v>
                  </c:pt>
                  <c:pt idx="13">
                    <c:v>Filles</c:v>
                  </c:pt>
                  <c:pt idx="14">
                    <c:v>Total</c:v>
                  </c:pt>
                  <c:pt idx="15">
                    <c:v>Garçons</c:v>
                  </c:pt>
                  <c:pt idx="16">
                    <c:v>Filles</c:v>
                  </c:pt>
                  <c:pt idx="17">
                    <c:v>Total</c:v>
                  </c:pt>
                  <c:pt idx="18">
                    <c:v>Garçons</c:v>
                  </c:pt>
                  <c:pt idx="19">
                    <c:v>Filles</c:v>
                  </c:pt>
                  <c:pt idx="20">
                    <c:v>Total</c:v>
                  </c:pt>
                  <c:pt idx="21">
                    <c:v>Garçons</c:v>
                  </c:pt>
                  <c:pt idx="22">
                    <c:v>Filles</c:v>
                  </c:pt>
                  <c:pt idx="23">
                    <c:v>Total</c:v>
                  </c:pt>
                </c:lvl>
                <c:lvl>
                  <c:pt idx="0">
                    <c:v>Moins de 9 ans</c:v>
                  </c:pt>
                  <c:pt idx="3">
                    <c:v>9 ans</c:v>
                  </c:pt>
                  <c:pt idx="6">
                    <c:v>10 ans</c:v>
                  </c:pt>
                  <c:pt idx="9">
                    <c:v>11 ans</c:v>
                  </c:pt>
                  <c:pt idx="12">
                    <c:v>12 ans</c:v>
                  </c:pt>
                  <c:pt idx="15">
                    <c:v>13 ans</c:v>
                  </c:pt>
                  <c:pt idx="18">
                    <c:v>14 ans</c:v>
                  </c:pt>
                  <c:pt idx="21">
                    <c:v>Plus de 14 ans</c:v>
                  </c:pt>
                </c:lvl>
              </c:multiLvlStrCache>
            </c:multiLvlStrRef>
          </c:cat>
          <c:val>
            <c:numRef>
              <c:f>Statistiques!$J$46:$AG$46</c:f>
            </c:numRef>
          </c:val>
        </c:ser>
        <c:ser>
          <c:idx val="44"/>
          <c:order val="4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Statistiques!$J$2:$AG$3</c:f>
              <c:multiLvlStrCache>
                <c:ptCount val="24"/>
                <c:lvl>
                  <c:pt idx="0">
                    <c:v>Garçons</c:v>
                  </c:pt>
                  <c:pt idx="1">
                    <c:v>Filles</c:v>
                  </c:pt>
                  <c:pt idx="2">
                    <c:v>Total</c:v>
                  </c:pt>
                  <c:pt idx="3">
                    <c:v>Garçons</c:v>
                  </c:pt>
                  <c:pt idx="4">
                    <c:v>Filles</c:v>
                  </c:pt>
                  <c:pt idx="5">
                    <c:v>Total</c:v>
                  </c:pt>
                  <c:pt idx="6">
                    <c:v>Garçons</c:v>
                  </c:pt>
                  <c:pt idx="7">
                    <c:v>Filles</c:v>
                  </c:pt>
                  <c:pt idx="8">
                    <c:v>Total</c:v>
                  </c:pt>
                  <c:pt idx="9">
                    <c:v>Garçons</c:v>
                  </c:pt>
                  <c:pt idx="10">
                    <c:v>Filles</c:v>
                  </c:pt>
                  <c:pt idx="11">
                    <c:v>Total</c:v>
                  </c:pt>
                  <c:pt idx="12">
                    <c:v>Garçons</c:v>
                  </c:pt>
                  <c:pt idx="13">
                    <c:v>Filles</c:v>
                  </c:pt>
                  <c:pt idx="14">
                    <c:v>Total</c:v>
                  </c:pt>
                  <c:pt idx="15">
                    <c:v>Garçons</c:v>
                  </c:pt>
                  <c:pt idx="16">
                    <c:v>Filles</c:v>
                  </c:pt>
                  <c:pt idx="17">
                    <c:v>Total</c:v>
                  </c:pt>
                  <c:pt idx="18">
                    <c:v>Garçons</c:v>
                  </c:pt>
                  <c:pt idx="19">
                    <c:v>Filles</c:v>
                  </c:pt>
                  <c:pt idx="20">
                    <c:v>Total</c:v>
                  </c:pt>
                  <c:pt idx="21">
                    <c:v>Garçons</c:v>
                  </c:pt>
                  <c:pt idx="22">
                    <c:v>Filles</c:v>
                  </c:pt>
                  <c:pt idx="23">
                    <c:v>Total</c:v>
                  </c:pt>
                </c:lvl>
                <c:lvl>
                  <c:pt idx="0">
                    <c:v>Moins de 9 ans</c:v>
                  </c:pt>
                  <c:pt idx="3">
                    <c:v>9 ans</c:v>
                  </c:pt>
                  <c:pt idx="6">
                    <c:v>10 ans</c:v>
                  </c:pt>
                  <c:pt idx="9">
                    <c:v>11 ans</c:v>
                  </c:pt>
                  <c:pt idx="12">
                    <c:v>12 ans</c:v>
                  </c:pt>
                  <c:pt idx="15">
                    <c:v>13 ans</c:v>
                  </c:pt>
                  <c:pt idx="18">
                    <c:v>14 ans</c:v>
                  </c:pt>
                  <c:pt idx="21">
                    <c:v>Plus de 14 ans</c:v>
                  </c:pt>
                </c:lvl>
              </c:multiLvlStrCache>
            </c:multiLvlStrRef>
          </c:cat>
          <c:val>
            <c:numRef>
              <c:f>Statistiques!$J$136:$AG$136</c:f>
            </c:numRef>
          </c:val>
        </c:ser>
        <c:ser>
          <c:idx val="45"/>
          <c:order val="4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Statistiques!$J$2:$AG$3</c:f>
              <c:multiLvlStrCache>
                <c:ptCount val="24"/>
                <c:lvl>
                  <c:pt idx="0">
                    <c:v>Garçons</c:v>
                  </c:pt>
                  <c:pt idx="1">
                    <c:v>Filles</c:v>
                  </c:pt>
                  <c:pt idx="2">
                    <c:v>Total</c:v>
                  </c:pt>
                  <c:pt idx="3">
                    <c:v>Garçons</c:v>
                  </c:pt>
                  <c:pt idx="4">
                    <c:v>Filles</c:v>
                  </c:pt>
                  <c:pt idx="5">
                    <c:v>Total</c:v>
                  </c:pt>
                  <c:pt idx="6">
                    <c:v>Garçons</c:v>
                  </c:pt>
                  <c:pt idx="7">
                    <c:v>Filles</c:v>
                  </c:pt>
                  <c:pt idx="8">
                    <c:v>Total</c:v>
                  </c:pt>
                  <c:pt idx="9">
                    <c:v>Garçons</c:v>
                  </c:pt>
                  <c:pt idx="10">
                    <c:v>Filles</c:v>
                  </c:pt>
                  <c:pt idx="11">
                    <c:v>Total</c:v>
                  </c:pt>
                  <c:pt idx="12">
                    <c:v>Garçons</c:v>
                  </c:pt>
                  <c:pt idx="13">
                    <c:v>Filles</c:v>
                  </c:pt>
                  <c:pt idx="14">
                    <c:v>Total</c:v>
                  </c:pt>
                  <c:pt idx="15">
                    <c:v>Garçons</c:v>
                  </c:pt>
                  <c:pt idx="16">
                    <c:v>Filles</c:v>
                  </c:pt>
                  <c:pt idx="17">
                    <c:v>Total</c:v>
                  </c:pt>
                  <c:pt idx="18">
                    <c:v>Garçons</c:v>
                  </c:pt>
                  <c:pt idx="19">
                    <c:v>Filles</c:v>
                  </c:pt>
                  <c:pt idx="20">
                    <c:v>Total</c:v>
                  </c:pt>
                  <c:pt idx="21">
                    <c:v>Garçons</c:v>
                  </c:pt>
                  <c:pt idx="22">
                    <c:v>Filles</c:v>
                  </c:pt>
                  <c:pt idx="23">
                    <c:v>Total</c:v>
                  </c:pt>
                </c:lvl>
                <c:lvl>
                  <c:pt idx="0">
                    <c:v>Moins de 9 ans</c:v>
                  </c:pt>
                  <c:pt idx="3">
                    <c:v>9 ans</c:v>
                  </c:pt>
                  <c:pt idx="6">
                    <c:v>10 ans</c:v>
                  </c:pt>
                  <c:pt idx="9">
                    <c:v>11 ans</c:v>
                  </c:pt>
                  <c:pt idx="12">
                    <c:v>12 ans</c:v>
                  </c:pt>
                  <c:pt idx="15">
                    <c:v>13 ans</c:v>
                  </c:pt>
                  <c:pt idx="18">
                    <c:v>14 ans</c:v>
                  </c:pt>
                  <c:pt idx="21">
                    <c:v>Plus de 14 ans</c:v>
                  </c:pt>
                </c:lvl>
              </c:multiLvlStrCache>
            </c:multiLvlStrRef>
          </c:cat>
          <c:val>
            <c:numRef>
              <c:f>Statistiques!$J$137:$AG$137</c:f>
            </c:numRef>
          </c:val>
        </c:ser>
        <c:ser>
          <c:idx val="46"/>
          <c:order val="4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Statistiques!$J$2:$AG$3</c:f>
              <c:multiLvlStrCache>
                <c:ptCount val="24"/>
                <c:lvl>
                  <c:pt idx="0">
                    <c:v>Garçons</c:v>
                  </c:pt>
                  <c:pt idx="1">
                    <c:v>Filles</c:v>
                  </c:pt>
                  <c:pt idx="2">
                    <c:v>Total</c:v>
                  </c:pt>
                  <c:pt idx="3">
                    <c:v>Garçons</c:v>
                  </c:pt>
                  <c:pt idx="4">
                    <c:v>Filles</c:v>
                  </c:pt>
                  <c:pt idx="5">
                    <c:v>Total</c:v>
                  </c:pt>
                  <c:pt idx="6">
                    <c:v>Garçons</c:v>
                  </c:pt>
                  <c:pt idx="7">
                    <c:v>Filles</c:v>
                  </c:pt>
                  <c:pt idx="8">
                    <c:v>Total</c:v>
                  </c:pt>
                  <c:pt idx="9">
                    <c:v>Garçons</c:v>
                  </c:pt>
                  <c:pt idx="10">
                    <c:v>Filles</c:v>
                  </c:pt>
                  <c:pt idx="11">
                    <c:v>Total</c:v>
                  </c:pt>
                  <c:pt idx="12">
                    <c:v>Garçons</c:v>
                  </c:pt>
                  <c:pt idx="13">
                    <c:v>Filles</c:v>
                  </c:pt>
                  <c:pt idx="14">
                    <c:v>Total</c:v>
                  </c:pt>
                  <c:pt idx="15">
                    <c:v>Garçons</c:v>
                  </c:pt>
                  <c:pt idx="16">
                    <c:v>Filles</c:v>
                  </c:pt>
                  <c:pt idx="17">
                    <c:v>Total</c:v>
                  </c:pt>
                  <c:pt idx="18">
                    <c:v>Garçons</c:v>
                  </c:pt>
                  <c:pt idx="19">
                    <c:v>Filles</c:v>
                  </c:pt>
                  <c:pt idx="20">
                    <c:v>Total</c:v>
                  </c:pt>
                  <c:pt idx="21">
                    <c:v>Garçons</c:v>
                  </c:pt>
                  <c:pt idx="22">
                    <c:v>Filles</c:v>
                  </c:pt>
                  <c:pt idx="23">
                    <c:v>Total</c:v>
                  </c:pt>
                </c:lvl>
                <c:lvl>
                  <c:pt idx="0">
                    <c:v>Moins de 9 ans</c:v>
                  </c:pt>
                  <c:pt idx="3">
                    <c:v>9 ans</c:v>
                  </c:pt>
                  <c:pt idx="6">
                    <c:v>10 ans</c:v>
                  </c:pt>
                  <c:pt idx="9">
                    <c:v>11 ans</c:v>
                  </c:pt>
                  <c:pt idx="12">
                    <c:v>12 ans</c:v>
                  </c:pt>
                  <c:pt idx="15">
                    <c:v>13 ans</c:v>
                  </c:pt>
                  <c:pt idx="18">
                    <c:v>14 ans</c:v>
                  </c:pt>
                  <c:pt idx="21">
                    <c:v>Plus de 14 ans</c:v>
                  </c:pt>
                </c:lvl>
              </c:multiLvlStrCache>
            </c:multiLvlStrRef>
          </c:cat>
          <c:val>
            <c:numRef>
              <c:f>Statistiques!$J$138:$AG$138</c:f>
            </c:numRef>
          </c:val>
        </c:ser>
        <c:ser>
          <c:idx val="24"/>
          <c:order val="4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FF"/>
              </a:solidFill>
            </c:spPr>
          </c:dPt>
          <c:dPt>
            <c:idx val="1"/>
            <c:invertIfNegative val="0"/>
            <c:spPr>
              <a:solidFill>
                <a:srgbClr val="FF99CC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3"/>
            <c:invertIfNegative val="0"/>
            <c:spPr>
              <a:solidFill>
                <a:srgbClr val="CCFFFF"/>
              </a:solidFill>
            </c:spPr>
          </c:dPt>
          <c:dPt>
            <c:idx val="4"/>
            <c:invertIfNegative val="0"/>
            <c:spPr>
              <a:solidFill>
                <a:srgbClr val="FF99CC"/>
              </a:solidFill>
            </c:spPr>
          </c:dPt>
          <c:dPt>
            <c:idx val="5"/>
            <c:invertIfNegative val="0"/>
            <c:spPr>
              <a:solidFill>
                <a:srgbClr val="FFFF99"/>
              </a:solidFill>
            </c:spPr>
          </c:dPt>
          <c:dPt>
            <c:idx val="6"/>
            <c:invertIfNegative val="0"/>
            <c:spPr>
              <a:solidFill>
                <a:srgbClr val="CCFFFF"/>
              </a:solidFill>
            </c:spPr>
          </c:dPt>
          <c:dPt>
            <c:idx val="7"/>
            <c:invertIfNegative val="0"/>
            <c:spPr>
              <a:solidFill>
                <a:srgbClr val="FF99CC"/>
              </a:solidFill>
            </c:spPr>
          </c:dPt>
          <c:dPt>
            <c:idx val="8"/>
            <c:invertIfNegative val="0"/>
            <c:spPr>
              <a:solidFill>
                <a:srgbClr val="FFFF99"/>
              </a:solidFill>
            </c:spPr>
          </c:dPt>
          <c:dPt>
            <c:idx val="9"/>
            <c:invertIfNegative val="0"/>
            <c:spPr>
              <a:solidFill>
                <a:srgbClr val="CCFFFF"/>
              </a:solidFill>
            </c:spPr>
          </c:dPt>
          <c:dPt>
            <c:idx val="10"/>
            <c:invertIfNegative val="0"/>
            <c:spPr>
              <a:solidFill>
                <a:srgbClr val="FF99CC"/>
              </a:solidFill>
            </c:spPr>
          </c:dPt>
          <c:dPt>
            <c:idx val="11"/>
            <c:invertIfNegative val="0"/>
            <c:spPr>
              <a:solidFill>
                <a:srgbClr val="FFFF99"/>
              </a:solidFill>
            </c:spPr>
          </c:dPt>
          <c:dPt>
            <c:idx val="12"/>
            <c:invertIfNegative val="0"/>
            <c:spPr>
              <a:solidFill>
                <a:srgbClr val="CCFFFF"/>
              </a:solidFill>
            </c:spPr>
          </c:dPt>
          <c:dPt>
            <c:idx val="13"/>
            <c:invertIfNegative val="0"/>
            <c:spPr>
              <a:solidFill>
                <a:srgbClr val="FF99CC"/>
              </a:solidFill>
            </c:spPr>
          </c:dPt>
          <c:dPt>
            <c:idx val="14"/>
            <c:invertIfNegative val="0"/>
            <c:spPr>
              <a:solidFill>
                <a:srgbClr val="FFFF99"/>
              </a:solidFill>
            </c:spPr>
          </c:dPt>
          <c:dPt>
            <c:idx val="15"/>
            <c:invertIfNegative val="0"/>
            <c:spPr>
              <a:solidFill>
                <a:srgbClr val="CCFFFF"/>
              </a:solidFill>
            </c:spPr>
          </c:dPt>
          <c:dPt>
            <c:idx val="16"/>
            <c:invertIfNegative val="0"/>
            <c:spPr>
              <a:solidFill>
                <a:srgbClr val="FF99CC"/>
              </a:solidFill>
            </c:spPr>
          </c:dPt>
          <c:dPt>
            <c:idx val="17"/>
            <c:invertIfNegative val="0"/>
            <c:spPr>
              <a:solidFill>
                <a:srgbClr val="FFFF99"/>
              </a:solidFill>
            </c:spPr>
          </c:dPt>
          <c:dPt>
            <c:idx val="18"/>
            <c:invertIfNegative val="0"/>
            <c:spPr>
              <a:solidFill>
                <a:srgbClr val="CCFFFF"/>
              </a:solidFill>
            </c:spPr>
          </c:dPt>
          <c:dPt>
            <c:idx val="19"/>
            <c:invertIfNegative val="0"/>
            <c:spPr>
              <a:solidFill>
                <a:srgbClr val="FF99CC"/>
              </a:solidFill>
            </c:spPr>
          </c:dPt>
          <c:dPt>
            <c:idx val="20"/>
            <c:invertIfNegative val="0"/>
            <c:spPr>
              <a:solidFill>
                <a:srgbClr val="FFFF99"/>
              </a:solidFill>
            </c:spPr>
          </c:dPt>
          <c:dPt>
            <c:idx val="21"/>
            <c:invertIfNegative val="0"/>
            <c:spPr>
              <a:solidFill>
                <a:srgbClr val="CCFFFF"/>
              </a:solidFill>
            </c:spPr>
          </c:dPt>
          <c:dPt>
            <c:idx val="22"/>
            <c:invertIfNegative val="0"/>
            <c:spPr>
              <a:solidFill>
                <a:srgbClr val="FF99CC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Statistiques!$J$2:$AG$3</c:f>
              <c:multiLvlStrCache>
                <c:ptCount val="24"/>
                <c:lvl>
                  <c:pt idx="0">
                    <c:v>Garçons</c:v>
                  </c:pt>
                  <c:pt idx="1">
                    <c:v>Filles</c:v>
                  </c:pt>
                  <c:pt idx="2">
                    <c:v>Total</c:v>
                  </c:pt>
                  <c:pt idx="3">
                    <c:v>Garçons</c:v>
                  </c:pt>
                  <c:pt idx="4">
                    <c:v>Filles</c:v>
                  </c:pt>
                  <c:pt idx="5">
                    <c:v>Total</c:v>
                  </c:pt>
                  <c:pt idx="6">
                    <c:v>Garçons</c:v>
                  </c:pt>
                  <c:pt idx="7">
                    <c:v>Filles</c:v>
                  </c:pt>
                  <c:pt idx="8">
                    <c:v>Total</c:v>
                  </c:pt>
                  <c:pt idx="9">
                    <c:v>Garçons</c:v>
                  </c:pt>
                  <c:pt idx="10">
                    <c:v>Filles</c:v>
                  </c:pt>
                  <c:pt idx="11">
                    <c:v>Total</c:v>
                  </c:pt>
                  <c:pt idx="12">
                    <c:v>Garçons</c:v>
                  </c:pt>
                  <c:pt idx="13">
                    <c:v>Filles</c:v>
                  </c:pt>
                  <c:pt idx="14">
                    <c:v>Total</c:v>
                  </c:pt>
                  <c:pt idx="15">
                    <c:v>Garçons</c:v>
                  </c:pt>
                  <c:pt idx="16">
                    <c:v>Filles</c:v>
                  </c:pt>
                  <c:pt idx="17">
                    <c:v>Total</c:v>
                  </c:pt>
                  <c:pt idx="18">
                    <c:v>Garçons</c:v>
                  </c:pt>
                  <c:pt idx="19">
                    <c:v>Filles</c:v>
                  </c:pt>
                  <c:pt idx="20">
                    <c:v>Total</c:v>
                  </c:pt>
                  <c:pt idx="21">
                    <c:v>Garçons</c:v>
                  </c:pt>
                  <c:pt idx="22">
                    <c:v>Filles</c:v>
                  </c:pt>
                  <c:pt idx="23">
                    <c:v>Total</c:v>
                  </c:pt>
                </c:lvl>
                <c:lvl>
                  <c:pt idx="0">
                    <c:v>Moins de 9 ans</c:v>
                  </c:pt>
                  <c:pt idx="3">
                    <c:v>9 ans</c:v>
                  </c:pt>
                  <c:pt idx="6">
                    <c:v>10 ans</c:v>
                  </c:pt>
                  <c:pt idx="9">
                    <c:v>11 ans</c:v>
                  </c:pt>
                  <c:pt idx="12">
                    <c:v>12 ans</c:v>
                  </c:pt>
                  <c:pt idx="15">
                    <c:v>13 ans</c:v>
                  </c:pt>
                  <c:pt idx="18">
                    <c:v>14 ans</c:v>
                  </c:pt>
                  <c:pt idx="21">
                    <c:v>Plus de 14 ans</c:v>
                  </c:pt>
                </c:lvl>
              </c:multiLvlStrCache>
            </c:multiLvlStrRef>
          </c:cat>
          <c:val>
            <c:numRef>
              <c:f>Statistiques!$J$139:$AG$139</c:f>
              <c:numCache>
                <c:ptCount val="24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4</c:v>
                </c:pt>
                <c:pt idx="5">
                  <c:v>10</c:v>
                </c:pt>
                <c:pt idx="6">
                  <c:v>5</c:v>
                </c:pt>
                <c:pt idx="7">
                  <c:v>5</c:v>
                </c:pt>
                <c:pt idx="8">
                  <c:v>10</c:v>
                </c:pt>
                <c:pt idx="9">
                  <c:v>8</c:v>
                </c:pt>
                <c:pt idx="10">
                  <c:v>3</c:v>
                </c:pt>
                <c:pt idx="11">
                  <c:v>11</c:v>
                </c:pt>
                <c:pt idx="12">
                  <c:v>5</c:v>
                </c:pt>
                <c:pt idx="13">
                  <c:v>0</c:v>
                </c:pt>
                <c:pt idx="14">
                  <c:v>5</c:v>
                </c:pt>
                <c:pt idx="15">
                  <c:v>3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5"/>
        <c:axId val="11655219"/>
        <c:axId val="37788108"/>
      </c:barChart>
      <c:catAx>
        <c:axId val="11655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7788108"/>
        <c:crosses val="autoZero"/>
        <c:auto val="1"/>
        <c:lblOffset val="100"/>
        <c:noMultiLvlLbl val="0"/>
      </c:catAx>
      <c:valAx>
        <c:axId val="37788108"/>
        <c:scaling>
          <c:orientation val="minMax"/>
        </c:scaling>
        <c:axPos val="l"/>
        <c:delete val="1"/>
        <c:majorTickMark val="out"/>
        <c:minorTickMark val="none"/>
        <c:tickLblPos val="nextTo"/>
        <c:crossAx val="116552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3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466725</xdr:colOff>
      <xdr:row>11</xdr:row>
      <xdr:rowOff>85725</xdr:rowOff>
    </xdr:from>
    <xdr:to>
      <xdr:col>22</xdr:col>
      <xdr:colOff>714375</xdr:colOff>
      <xdr:row>17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6181725" y="1914525"/>
          <a:ext cx="4819650" cy="10382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FFCC"/>
              </a:solidFill>
              <a:latin typeface="Castellar"/>
              <a:cs typeface="Castellar"/>
            </a:rPr>
            <a:t>Inscription</a:t>
          </a:r>
        </a:p>
      </xdr:txBody>
    </xdr:sp>
    <xdr:clientData/>
  </xdr:twoCellAnchor>
  <xdr:twoCellAnchor>
    <xdr:from>
      <xdr:col>16</xdr:col>
      <xdr:colOff>390525</xdr:colOff>
      <xdr:row>40</xdr:row>
      <xdr:rowOff>85725</xdr:rowOff>
    </xdr:from>
    <xdr:to>
      <xdr:col>22</xdr:col>
      <xdr:colOff>638175</xdr:colOff>
      <xdr:row>46</xdr:row>
      <xdr:rowOff>133350</xdr:rowOff>
    </xdr:to>
    <xdr:sp>
      <xdr:nvSpPr>
        <xdr:cNvPr id="2" name="AutoShape 3"/>
        <xdr:cNvSpPr>
          <a:spLocks/>
        </xdr:cNvSpPr>
      </xdr:nvSpPr>
      <xdr:spPr>
        <a:xfrm>
          <a:off x="6105525" y="6696075"/>
          <a:ext cx="4819650" cy="10382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FFCC"/>
              </a:solidFill>
              <a:latin typeface="Castellar"/>
              <a:cs typeface="Castellar"/>
            </a:rPr>
            <a:t>Inscription</a:t>
          </a:r>
        </a:p>
      </xdr:txBody>
    </xdr:sp>
    <xdr:clientData/>
  </xdr:twoCellAnchor>
  <xdr:twoCellAnchor>
    <xdr:from>
      <xdr:col>16</xdr:col>
      <xdr:colOff>323850</xdr:colOff>
      <xdr:row>63</xdr:row>
      <xdr:rowOff>47625</xdr:rowOff>
    </xdr:from>
    <xdr:to>
      <xdr:col>22</xdr:col>
      <xdr:colOff>571500</xdr:colOff>
      <xdr:row>69</xdr:row>
      <xdr:rowOff>95250</xdr:rowOff>
    </xdr:to>
    <xdr:sp>
      <xdr:nvSpPr>
        <xdr:cNvPr id="3" name="AutoShape 4"/>
        <xdr:cNvSpPr>
          <a:spLocks/>
        </xdr:cNvSpPr>
      </xdr:nvSpPr>
      <xdr:spPr>
        <a:xfrm>
          <a:off x="6038850" y="10458450"/>
          <a:ext cx="4819650" cy="10382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FFCC"/>
              </a:solidFill>
              <a:latin typeface="Castellar"/>
              <a:cs typeface="Castellar"/>
            </a:rPr>
            <a:t>Inscription</a:t>
          </a:r>
        </a:p>
      </xdr:txBody>
    </xdr:sp>
    <xdr:clientData/>
  </xdr:twoCellAnchor>
  <xdr:twoCellAnchor>
    <xdr:from>
      <xdr:col>16</xdr:col>
      <xdr:colOff>276225</xdr:colOff>
      <xdr:row>90</xdr:row>
      <xdr:rowOff>28575</xdr:rowOff>
    </xdr:from>
    <xdr:to>
      <xdr:col>22</xdr:col>
      <xdr:colOff>523875</xdr:colOff>
      <xdr:row>96</xdr:row>
      <xdr:rowOff>76200</xdr:rowOff>
    </xdr:to>
    <xdr:sp>
      <xdr:nvSpPr>
        <xdr:cNvPr id="4" name="AutoShape 5"/>
        <xdr:cNvSpPr>
          <a:spLocks/>
        </xdr:cNvSpPr>
      </xdr:nvSpPr>
      <xdr:spPr>
        <a:xfrm>
          <a:off x="5991225" y="14897100"/>
          <a:ext cx="4819650" cy="10382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FFCC"/>
              </a:solidFill>
              <a:latin typeface="Castellar"/>
              <a:cs typeface="Castellar"/>
            </a:rPr>
            <a:t>Inscription</a:t>
          </a:r>
        </a:p>
      </xdr:txBody>
    </xdr:sp>
    <xdr:clientData/>
  </xdr:twoCellAnchor>
  <xdr:twoCellAnchor>
    <xdr:from>
      <xdr:col>16</xdr:col>
      <xdr:colOff>142875</xdr:colOff>
      <xdr:row>126</xdr:row>
      <xdr:rowOff>19050</xdr:rowOff>
    </xdr:from>
    <xdr:to>
      <xdr:col>22</xdr:col>
      <xdr:colOff>390525</xdr:colOff>
      <xdr:row>132</xdr:row>
      <xdr:rowOff>66675</xdr:rowOff>
    </xdr:to>
    <xdr:sp>
      <xdr:nvSpPr>
        <xdr:cNvPr id="5" name="AutoShape 6"/>
        <xdr:cNvSpPr>
          <a:spLocks/>
        </xdr:cNvSpPr>
      </xdr:nvSpPr>
      <xdr:spPr>
        <a:xfrm>
          <a:off x="5857875" y="20831175"/>
          <a:ext cx="4819650" cy="10382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FFCC"/>
              </a:solidFill>
              <a:latin typeface="Castellar"/>
              <a:cs typeface="Castellar"/>
            </a:rPr>
            <a:t>Inscription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114300</xdr:colOff>
      <xdr:row>30</xdr:row>
      <xdr:rowOff>95250</xdr:rowOff>
    </xdr:from>
    <xdr:to>
      <xdr:col>27</xdr:col>
      <xdr:colOff>638175</xdr:colOff>
      <xdr:row>44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477250" y="5086350"/>
          <a:ext cx="3048000" cy="2247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Chaque équipe ne poura être vainqueur qu'une seule fois.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La priorité est donnée (dans cet ordre):
1 - Au classement général (1er, 2eme et 3eme)
2 - Au classement "VTT"
3 - Au classement "Course d'obstacle"
4 - Au classement "Lancer de précision"
5 - Au classement "Saut à 2"
</a:t>
          </a:r>
          <a:r>
            <a:rPr lang="en-US" cap="none" sz="14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Ce qui permet de classer 8 équipes.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685800</xdr:colOff>
      <xdr:row>13</xdr:row>
      <xdr:rowOff>0</xdr:rowOff>
    </xdr:from>
    <xdr:to>
      <xdr:col>16</xdr:col>
      <xdr:colOff>581025</xdr:colOff>
      <xdr:row>23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4991100" y="2028825"/>
          <a:ext cx="3705225" cy="1628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Castellar"/>
              <a:cs typeface="Castellar"/>
            </a:rPr>
            <a:t>V.T.T.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76200</xdr:colOff>
      <xdr:row>20</xdr:row>
      <xdr:rowOff>104775</xdr:rowOff>
    </xdr:from>
    <xdr:to>
      <xdr:col>22</xdr:col>
      <xdr:colOff>104775</xdr:colOff>
      <xdr:row>33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819775" y="3267075"/>
          <a:ext cx="3838575" cy="2152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FFFF"/>
              </a:solidFill>
              <a:latin typeface="Castellar"/>
              <a:cs typeface="Castellar"/>
            </a:rPr>
            <a:t>Course
d'obstacle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12</xdr:row>
      <xdr:rowOff>47625</xdr:rowOff>
    </xdr:from>
    <xdr:to>
      <xdr:col>14</xdr:col>
      <xdr:colOff>266700</xdr:colOff>
      <xdr:row>27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4267200" y="1933575"/>
          <a:ext cx="4514850" cy="2447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FF00"/>
              </a:solidFill>
              <a:latin typeface="Castellar"/>
              <a:cs typeface="Castellar"/>
            </a:rPr>
            <a:t>Lancer de
précision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285750</xdr:colOff>
      <xdr:row>9</xdr:row>
      <xdr:rowOff>123825</xdr:rowOff>
    </xdr:from>
    <xdr:to>
      <xdr:col>22</xdr:col>
      <xdr:colOff>447675</xdr:colOff>
      <xdr:row>27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210175" y="1504950"/>
          <a:ext cx="4733925" cy="2790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00"/>
              </a:solidFill>
              <a:latin typeface="Castellar"/>
              <a:cs typeface="Castellar"/>
            </a:rPr>
            <a:t>Saut à
deux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209550</xdr:colOff>
      <xdr:row>9</xdr:row>
      <xdr:rowOff>0</xdr:rowOff>
    </xdr:from>
    <xdr:to>
      <xdr:col>22</xdr:col>
      <xdr:colOff>209550</xdr:colOff>
      <xdr:row>26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5133975" y="1381125"/>
          <a:ext cx="4572000" cy="2828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FF"/>
              </a:solidFill>
              <a:latin typeface="Castellar"/>
              <a:cs typeface="Castellar"/>
            </a:rPr>
            <a:t>Parcours de
la flamme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142</xdr:row>
      <xdr:rowOff>76200</xdr:rowOff>
    </xdr:from>
    <xdr:to>
      <xdr:col>12</xdr:col>
      <xdr:colOff>371475</xdr:colOff>
      <xdr:row>168</xdr:row>
      <xdr:rowOff>85725</xdr:rowOff>
    </xdr:to>
    <xdr:graphicFrame>
      <xdr:nvGraphicFramePr>
        <xdr:cNvPr id="1" name="Chart 2"/>
        <xdr:cNvGraphicFramePr/>
      </xdr:nvGraphicFramePr>
      <xdr:xfrm>
        <a:off x="0" y="1076325"/>
        <a:ext cx="46672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371475</xdr:colOff>
      <xdr:row>142</xdr:row>
      <xdr:rowOff>66675</xdr:rowOff>
    </xdr:from>
    <xdr:to>
      <xdr:col>33</xdr:col>
      <xdr:colOff>9525</xdr:colOff>
      <xdr:row>168</xdr:row>
      <xdr:rowOff>85725</xdr:rowOff>
    </xdr:to>
    <xdr:graphicFrame>
      <xdr:nvGraphicFramePr>
        <xdr:cNvPr id="2" name="Chart 4"/>
        <xdr:cNvGraphicFramePr/>
      </xdr:nvGraphicFramePr>
      <xdr:xfrm>
        <a:off x="4667250" y="1066800"/>
        <a:ext cx="9039225" cy="4229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168</xdr:row>
      <xdr:rowOff>95250</xdr:rowOff>
    </xdr:from>
    <xdr:to>
      <xdr:col>33</xdr:col>
      <xdr:colOff>0</xdr:colOff>
      <xdr:row>205</xdr:row>
      <xdr:rowOff>66675</xdr:rowOff>
    </xdr:to>
    <xdr:graphicFrame>
      <xdr:nvGraphicFramePr>
        <xdr:cNvPr id="3" name="Chart 7"/>
        <xdr:cNvGraphicFramePr/>
      </xdr:nvGraphicFramePr>
      <xdr:xfrm>
        <a:off x="38100" y="5305425"/>
        <a:ext cx="13658850" cy="596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2:R137"/>
  <sheetViews>
    <sheetView tabSelected="1" workbookViewId="0" topLeftCell="A1">
      <selection activeCell="H54" sqref="H54:H56"/>
    </sheetView>
  </sheetViews>
  <sheetFormatPr defaultColWidth="11.421875" defaultRowHeight="12.75"/>
  <cols>
    <col min="1" max="1" width="1.1484375" style="0" customWidth="1"/>
    <col min="2" max="2" width="4.140625" style="14" customWidth="1"/>
    <col min="3" max="5" width="14.57421875" style="0" customWidth="1"/>
    <col min="6" max="7" width="3.7109375" style="1" customWidth="1"/>
    <col min="8" max="8" width="6.8515625" style="0" customWidth="1"/>
    <col min="9" max="9" width="5.57421875" style="0" customWidth="1"/>
    <col min="10" max="10" width="5.421875" style="0" customWidth="1"/>
    <col min="11" max="11" width="11.421875" style="1" customWidth="1"/>
    <col min="12" max="16" width="11.421875" style="167" hidden="1" customWidth="1"/>
  </cols>
  <sheetData>
    <row r="1" ht="6" customHeight="1" thickBot="1"/>
    <row r="2" spans="2:18" s="6" customFormat="1" ht="21" customHeight="1" thickBot="1">
      <c r="B2" s="311" t="s">
        <v>0</v>
      </c>
      <c r="C2" s="312"/>
      <c r="D2" s="11" t="s">
        <v>20</v>
      </c>
      <c r="E2" s="11" t="s">
        <v>19</v>
      </c>
      <c r="F2" s="11" t="s">
        <v>1</v>
      </c>
      <c r="G2" s="11" t="s">
        <v>2</v>
      </c>
      <c r="H2" s="11" t="s">
        <v>6</v>
      </c>
      <c r="I2" s="309">
        <v>1.05</v>
      </c>
      <c r="J2" s="309"/>
      <c r="K2" s="310"/>
      <c r="L2" s="168">
        <f ca="1">TODAY()</f>
        <v>39630</v>
      </c>
      <c r="M2" s="169">
        <f>L2</f>
        <v>39630</v>
      </c>
      <c r="N2" s="170"/>
      <c r="O2" s="171" t="s">
        <v>13</v>
      </c>
      <c r="P2" s="170">
        <f>YEAR(L2)</f>
        <v>2008</v>
      </c>
      <c r="Q2" s="295" t="s">
        <v>39</v>
      </c>
      <c r="R2" s="295"/>
    </row>
    <row r="3" spans="2:17" ht="12.75">
      <c r="B3" s="296">
        <v>1</v>
      </c>
      <c r="C3" s="299" t="s">
        <v>44</v>
      </c>
      <c r="D3" s="243" t="s">
        <v>40</v>
      </c>
      <c r="E3" s="42">
        <v>34764</v>
      </c>
      <c r="F3" s="15" t="s">
        <v>41</v>
      </c>
      <c r="G3" s="15"/>
      <c r="H3" s="302">
        <f>IF(COUNTA(G3),"X",IF(COUNTA(G4),"X",IF(COUNTA(G5),"X","")))</f>
      </c>
      <c r="I3" s="18">
        <f>IF(E3="","?",TRUNC(N3/365))</f>
        <v>13</v>
      </c>
      <c r="J3" s="19" t="str">
        <f>IF(I3="?","","ans")</f>
        <v>ans</v>
      </c>
      <c r="K3" s="20">
        <f aca="true" t="shared" si="0" ref="K3:K23">IF(I3&lt;9,"trop jeune",IF(I3&gt;15,"trop vieux",""))</f>
      </c>
      <c r="L3" s="172">
        <f>YEAR(E3)</f>
        <v>1995</v>
      </c>
      <c r="M3" s="172">
        <f>E3</f>
        <v>34764</v>
      </c>
      <c r="N3" s="172">
        <f>IF(M3&gt;0,$M$2-M3)</f>
        <v>4866</v>
      </c>
      <c r="O3" s="305">
        <f>(1/AVERAGE(N3:N5)+1/SMALL((N3:N5),1))/100</f>
        <v>4.2387495598981595E-06</v>
      </c>
      <c r="P3" s="172"/>
      <c r="Q3" s="2"/>
    </row>
    <row r="4" spans="2:18" ht="12.75">
      <c r="B4" s="297"/>
      <c r="C4" s="300"/>
      <c r="D4" s="244" t="s">
        <v>42</v>
      </c>
      <c r="E4" s="43">
        <v>34788</v>
      </c>
      <c r="F4" s="16" t="s">
        <v>41</v>
      </c>
      <c r="G4" s="16"/>
      <c r="H4" s="303"/>
      <c r="I4" s="21">
        <f aca="true" t="shared" si="1" ref="I4:I67">IF(E4="","?",TRUNC(N4/365))</f>
        <v>13</v>
      </c>
      <c r="J4" s="22" t="str">
        <f aca="true" t="shared" si="2" ref="J4:J106">IF(I4="?","","ans")</f>
        <v>ans</v>
      </c>
      <c r="K4" s="23">
        <f t="shared" si="0"/>
      </c>
      <c r="L4" s="172">
        <f aca="true" t="shared" si="3" ref="L4:L106">YEAR(E4)</f>
        <v>1995</v>
      </c>
      <c r="M4" s="172">
        <f aca="true" t="shared" si="4" ref="M4:M106">E4</f>
        <v>34788</v>
      </c>
      <c r="N4" s="172">
        <f aca="true" t="shared" si="5" ref="N4:N106">IF(M4&gt;0,$M$2-M4)</f>
        <v>4842</v>
      </c>
      <c r="O4" s="305"/>
      <c r="P4" s="172"/>
      <c r="Q4" s="2"/>
      <c r="R4" s="3"/>
    </row>
    <row r="5" spans="2:17" ht="13.5" thickBot="1">
      <c r="B5" s="298"/>
      <c r="C5" s="301"/>
      <c r="D5" s="245" t="s">
        <v>43</v>
      </c>
      <c r="E5" s="173">
        <v>34978</v>
      </c>
      <c r="F5" s="174" t="s">
        <v>41</v>
      </c>
      <c r="G5" s="174"/>
      <c r="H5" s="313"/>
      <c r="I5" s="24">
        <f t="shared" si="1"/>
        <v>12</v>
      </c>
      <c r="J5" s="175" t="str">
        <f t="shared" si="2"/>
        <v>ans</v>
      </c>
      <c r="K5" s="26">
        <f t="shared" si="0"/>
      </c>
      <c r="L5" s="172">
        <f t="shared" si="3"/>
        <v>1995</v>
      </c>
      <c r="M5" s="172">
        <f t="shared" si="4"/>
        <v>34978</v>
      </c>
      <c r="N5" s="172">
        <f t="shared" si="5"/>
        <v>4652</v>
      </c>
      <c r="O5" s="305"/>
      <c r="P5" s="172"/>
      <c r="Q5" s="2"/>
    </row>
    <row r="6" spans="2:17" ht="12.75">
      <c r="B6" s="296">
        <v>2</v>
      </c>
      <c r="C6" s="299" t="s">
        <v>56</v>
      </c>
      <c r="D6" s="243" t="s">
        <v>45</v>
      </c>
      <c r="E6" s="42">
        <v>35918</v>
      </c>
      <c r="F6" s="15" t="s">
        <v>41</v>
      </c>
      <c r="G6" s="15"/>
      <c r="H6" s="302">
        <f>IF(COUNTA(G6),"X",IF(COUNTA(G7),"X",IF(COUNTA(G8),"X","")))</f>
      </c>
      <c r="I6" s="18">
        <f t="shared" si="1"/>
        <v>10</v>
      </c>
      <c r="J6" s="19" t="str">
        <f t="shared" si="2"/>
        <v>ans</v>
      </c>
      <c r="K6" s="20">
        <f t="shared" si="0"/>
      </c>
      <c r="L6" s="172">
        <f t="shared" si="3"/>
        <v>1998</v>
      </c>
      <c r="M6" s="172">
        <f t="shared" si="4"/>
        <v>35918</v>
      </c>
      <c r="N6" s="172">
        <f t="shared" si="5"/>
        <v>3712</v>
      </c>
      <c r="O6" s="305">
        <f>(1/AVERAGE(N6:N8)+1/SMALL((N6:N8),1))/100</f>
        <v>5.547261142042036E-06</v>
      </c>
      <c r="P6" s="172"/>
      <c r="Q6" s="2"/>
    </row>
    <row r="7" spans="2:17" ht="12.75">
      <c r="B7" s="297"/>
      <c r="C7" s="300"/>
      <c r="D7" s="244" t="s">
        <v>46</v>
      </c>
      <c r="E7" s="43">
        <v>36077</v>
      </c>
      <c r="F7" s="16" t="s">
        <v>41</v>
      </c>
      <c r="G7" s="16"/>
      <c r="H7" s="303"/>
      <c r="I7" s="21">
        <f t="shared" si="1"/>
        <v>9</v>
      </c>
      <c r="J7" s="22" t="str">
        <f t="shared" si="2"/>
        <v>ans</v>
      </c>
      <c r="K7" s="23">
        <f t="shared" si="0"/>
      </c>
      <c r="L7" s="172">
        <f aca="true" t="shared" si="6" ref="L7:L44">YEAR(E7)</f>
        <v>1998</v>
      </c>
      <c r="M7" s="172">
        <f aca="true" t="shared" si="7" ref="M7:M44">E7</f>
        <v>36077</v>
      </c>
      <c r="N7" s="172">
        <f t="shared" si="5"/>
        <v>3553</v>
      </c>
      <c r="O7" s="305"/>
      <c r="P7" s="172"/>
      <c r="Q7" s="2"/>
    </row>
    <row r="8" spans="2:17" ht="13.5" thickBot="1">
      <c r="B8" s="298"/>
      <c r="C8" s="301"/>
      <c r="D8" s="246" t="s">
        <v>47</v>
      </c>
      <c r="E8" s="44">
        <v>35917</v>
      </c>
      <c r="F8" s="17" t="s">
        <v>41</v>
      </c>
      <c r="G8" s="17"/>
      <c r="H8" s="304"/>
      <c r="I8" s="24">
        <f t="shared" si="1"/>
        <v>10</v>
      </c>
      <c r="J8" s="175" t="str">
        <f t="shared" si="2"/>
        <v>ans</v>
      </c>
      <c r="K8" s="26">
        <f t="shared" si="0"/>
      </c>
      <c r="L8" s="172">
        <f t="shared" si="6"/>
        <v>1998</v>
      </c>
      <c r="M8" s="172">
        <f t="shared" si="7"/>
        <v>35917</v>
      </c>
      <c r="N8" s="172">
        <f t="shared" si="5"/>
        <v>3713</v>
      </c>
      <c r="O8" s="305"/>
      <c r="P8" s="172"/>
      <c r="Q8" s="2"/>
    </row>
    <row r="9" spans="2:17" ht="12.75">
      <c r="B9" s="296">
        <v>3</v>
      </c>
      <c r="C9" s="299" t="s">
        <v>57</v>
      </c>
      <c r="D9" s="243" t="s">
        <v>48</v>
      </c>
      <c r="E9" s="42">
        <v>36054</v>
      </c>
      <c r="F9" s="15"/>
      <c r="G9" s="15" t="s">
        <v>41</v>
      </c>
      <c r="H9" s="302" t="str">
        <f>IF(COUNTA(G9),"X",IF(COUNTA(G10),"X",IF(COUNTA(G11),"X","")))</f>
        <v>X</v>
      </c>
      <c r="I9" s="18">
        <f t="shared" si="1"/>
        <v>9</v>
      </c>
      <c r="J9" s="19" t="str">
        <f t="shared" si="2"/>
        <v>ans</v>
      </c>
      <c r="K9" s="20">
        <f t="shared" si="0"/>
      </c>
      <c r="L9" s="172">
        <f t="shared" si="6"/>
        <v>1998</v>
      </c>
      <c r="M9" s="172">
        <f t="shared" si="7"/>
        <v>36054</v>
      </c>
      <c r="N9" s="172">
        <f t="shared" si="5"/>
        <v>3576</v>
      </c>
      <c r="O9" s="305">
        <f>(1/AVERAGE(N9:N11)+1/SMALL((N9:N11),1))/100</f>
        <v>5.4923228102679905E-06</v>
      </c>
      <c r="P9" s="172"/>
      <c r="Q9" s="2"/>
    </row>
    <row r="10" spans="2:17" ht="12.75">
      <c r="B10" s="297"/>
      <c r="C10" s="300"/>
      <c r="D10" s="244" t="s">
        <v>42</v>
      </c>
      <c r="E10" s="43">
        <v>35893</v>
      </c>
      <c r="F10" s="16" t="s">
        <v>41</v>
      </c>
      <c r="G10" s="16"/>
      <c r="H10" s="303"/>
      <c r="I10" s="21">
        <f t="shared" si="1"/>
        <v>10</v>
      </c>
      <c r="J10" s="22" t="str">
        <f t="shared" si="2"/>
        <v>ans</v>
      </c>
      <c r="K10" s="23">
        <f t="shared" si="0"/>
      </c>
      <c r="L10" s="172">
        <f t="shared" si="6"/>
        <v>1998</v>
      </c>
      <c r="M10" s="172">
        <f t="shared" si="7"/>
        <v>35893</v>
      </c>
      <c r="N10" s="172">
        <f t="shared" si="5"/>
        <v>3737</v>
      </c>
      <c r="O10" s="305"/>
      <c r="P10" s="172"/>
      <c r="Q10" s="2"/>
    </row>
    <row r="11" spans="2:17" ht="13.5" thickBot="1">
      <c r="B11" s="298"/>
      <c r="C11" s="301"/>
      <c r="D11" s="246" t="s">
        <v>49</v>
      </c>
      <c r="E11" s="44">
        <v>35815</v>
      </c>
      <c r="F11" s="17" t="s">
        <v>41</v>
      </c>
      <c r="G11" s="17"/>
      <c r="H11" s="304"/>
      <c r="I11" s="24">
        <f t="shared" si="1"/>
        <v>10</v>
      </c>
      <c r="J11" s="175" t="str">
        <f t="shared" si="2"/>
        <v>ans</v>
      </c>
      <c r="K11" s="26">
        <f t="shared" si="0"/>
      </c>
      <c r="L11" s="172">
        <f t="shared" si="6"/>
        <v>1998</v>
      </c>
      <c r="M11" s="172">
        <f t="shared" si="7"/>
        <v>35815</v>
      </c>
      <c r="N11" s="172">
        <f t="shared" si="5"/>
        <v>3815</v>
      </c>
      <c r="O11" s="305"/>
      <c r="P11" s="172"/>
      <c r="Q11" s="2"/>
    </row>
    <row r="12" spans="2:17" ht="12.75">
      <c r="B12" s="296">
        <v>4</v>
      </c>
      <c r="C12" s="299" t="s">
        <v>58</v>
      </c>
      <c r="D12" s="243" t="s">
        <v>50</v>
      </c>
      <c r="E12" s="42">
        <v>36151</v>
      </c>
      <c r="F12" s="15"/>
      <c r="G12" s="15" t="s">
        <v>41</v>
      </c>
      <c r="H12" s="302" t="str">
        <f>IF(COUNTA(G12),"X",IF(COUNTA(G13),"X",IF(COUNTA(G14),"X","")))</f>
        <v>X</v>
      </c>
      <c r="I12" s="18">
        <f t="shared" si="1"/>
        <v>9</v>
      </c>
      <c r="J12" s="19" t="str">
        <f t="shared" si="2"/>
        <v>ans</v>
      </c>
      <c r="K12" s="20">
        <f t="shared" si="0"/>
      </c>
      <c r="L12" s="172">
        <f t="shared" si="6"/>
        <v>1998</v>
      </c>
      <c r="M12" s="172">
        <f t="shared" si="7"/>
        <v>36151</v>
      </c>
      <c r="N12" s="172">
        <f t="shared" si="5"/>
        <v>3479</v>
      </c>
      <c r="O12" s="305">
        <f>(1/AVERAGE(N12:N14)+1/SMALL((N12:N14),1))/100</f>
        <v>5.6831149670368295E-06</v>
      </c>
      <c r="P12" s="172"/>
      <c r="Q12" s="2"/>
    </row>
    <row r="13" spans="2:17" ht="12.75">
      <c r="B13" s="297"/>
      <c r="C13" s="300"/>
      <c r="D13" s="244" t="s">
        <v>51</v>
      </c>
      <c r="E13" s="43">
        <v>36061</v>
      </c>
      <c r="F13" s="16"/>
      <c r="G13" s="16" t="s">
        <v>41</v>
      </c>
      <c r="H13" s="303"/>
      <c r="I13" s="21">
        <f t="shared" si="1"/>
        <v>9</v>
      </c>
      <c r="J13" s="22" t="str">
        <f t="shared" si="2"/>
        <v>ans</v>
      </c>
      <c r="K13" s="23">
        <f t="shared" si="0"/>
      </c>
      <c r="L13" s="172">
        <f t="shared" si="6"/>
        <v>1998</v>
      </c>
      <c r="M13" s="172">
        <f t="shared" si="7"/>
        <v>36061</v>
      </c>
      <c r="N13" s="172">
        <f t="shared" si="5"/>
        <v>3569</v>
      </c>
      <c r="O13" s="305"/>
      <c r="P13" s="172"/>
      <c r="Q13" s="2"/>
    </row>
    <row r="14" spans="2:17" ht="13.5" thickBot="1">
      <c r="B14" s="298"/>
      <c r="C14" s="301"/>
      <c r="D14" s="246" t="s">
        <v>52</v>
      </c>
      <c r="E14" s="44">
        <v>35997</v>
      </c>
      <c r="F14" s="17"/>
      <c r="G14" s="17" t="s">
        <v>41</v>
      </c>
      <c r="H14" s="304"/>
      <c r="I14" s="24">
        <f t="shared" si="1"/>
        <v>9</v>
      </c>
      <c r="J14" s="175" t="str">
        <f t="shared" si="2"/>
        <v>ans</v>
      </c>
      <c r="K14" s="26">
        <f t="shared" si="0"/>
      </c>
      <c r="L14" s="172">
        <f t="shared" si="6"/>
        <v>1998</v>
      </c>
      <c r="M14" s="172">
        <f t="shared" si="7"/>
        <v>35997</v>
      </c>
      <c r="N14" s="172">
        <f t="shared" si="5"/>
        <v>3633</v>
      </c>
      <c r="O14" s="305"/>
      <c r="P14" s="172"/>
      <c r="Q14" s="2"/>
    </row>
    <row r="15" spans="2:17" ht="12.75">
      <c r="B15" s="296">
        <v>5</v>
      </c>
      <c r="C15" s="299" t="s">
        <v>59</v>
      </c>
      <c r="D15" s="243" t="s">
        <v>53</v>
      </c>
      <c r="E15" s="42">
        <v>35264</v>
      </c>
      <c r="F15" s="15" t="s">
        <v>41</v>
      </c>
      <c r="G15" s="15"/>
      <c r="H15" s="302">
        <f>IF(COUNTA(G15),"X",IF(COUNTA(G16),"X",IF(COUNTA(G17),"X","")))</f>
      </c>
      <c r="I15" s="18">
        <f t="shared" si="1"/>
        <v>11</v>
      </c>
      <c r="J15" s="19" t="str">
        <f t="shared" si="2"/>
        <v>ans</v>
      </c>
      <c r="K15" s="20">
        <f t="shared" si="0"/>
      </c>
      <c r="L15" s="172">
        <f t="shared" si="6"/>
        <v>1996</v>
      </c>
      <c r="M15" s="172">
        <f t="shared" si="7"/>
        <v>35264</v>
      </c>
      <c r="N15" s="172">
        <f t="shared" si="5"/>
        <v>4366</v>
      </c>
      <c r="O15" s="305">
        <f>(1/AVERAGE(N15:N17)+1/SMALL((N15:N17),1))/100</f>
        <v>4.552869458153605E-06</v>
      </c>
      <c r="P15" s="172"/>
      <c r="Q15" s="2"/>
    </row>
    <row r="16" spans="2:17" ht="12.75">
      <c r="B16" s="297"/>
      <c r="C16" s="300"/>
      <c r="D16" s="244" t="s">
        <v>54</v>
      </c>
      <c r="E16" s="43">
        <v>35231</v>
      </c>
      <c r="F16" s="16" t="s">
        <v>41</v>
      </c>
      <c r="G16" s="16"/>
      <c r="H16" s="303"/>
      <c r="I16" s="21">
        <f t="shared" si="1"/>
        <v>12</v>
      </c>
      <c r="J16" s="22" t="str">
        <f t="shared" si="2"/>
        <v>ans</v>
      </c>
      <c r="K16" s="23">
        <f t="shared" si="0"/>
      </c>
      <c r="L16" s="172">
        <f t="shared" si="6"/>
        <v>1996</v>
      </c>
      <c r="M16" s="172">
        <f t="shared" si="7"/>
        <v>35231</v>
      </c>
      <c r="N16" s="172">
        <f t="shared" si="5"/>
        <v>4399</v>
      </c>
      <c r="O16" s="305"/>
      <c r="P16" s="172"/>
      <c r="Q16" s="2"/>
    </row>
    <row r="17" spans="2:17" ht="13.5" thickBot="1">
      <c r="B17" s="298"/>
      <c r="C17" s="301"/>
      <c r="D17" s="245" t="s">
        <v>55</v>
      </c>
      <c r="E17" s="173">
        <v>35135</v>
      </c>
      <c r="F17" s="174" t="s">
        <v>41</v>
      </c>
      <c r="G17" s="174"/>
      <c r="H17" s="304"/>
      <c r="I17" s="24">
        <f t="shared" si="1"/>
        <v>12</v>
      </c>
      <c r="J17" s="175" t="str">
        <f t="shared" si="2"/>
        <v>ans</v>
      </c>
      <c r="K17" s="26">
        <f t="shared" si="0"/>
      </c>
      <c r="L17" s="172">
        <f t="shared" si="6"/>
        <v>1996</v>
      </c>
      <c r="M17" s="172">
        <f t="shared" si="7"/>
        <v>35135</v>
      </c>
      <c r="N17" s="172">
        <f t="shared" si="5"/>
        <v>4495</v>
      </c>
      <c r="O17" s="305"/>
      <c r="P17" s="172"/>
      <c r="Q17" s="2"/>
    </row>
    <row r="18" spans="2:17" ht="12.75">
      <c r="B18" s="296">
        <v>6</v>
      </c>
      <c r="C18" s="306" t="s">
        <v>132</v>
      </c>
      <c r="D18" s="243"/>
      <c r="E18" s="42"/>
      <c r="F18" s="15"/>
      <c r="G18" s="15"/>
      <c r="H18" s="302">
        <f>IF(COUNTA(G18),"X",IF(COUNTA(G19),"X",IF(COUNTA(G20),"X","")))</f>
      </c>
      <c r="I18" s="18" t="str">
        <f t="shared" si="1"/>
        <v>?</v>
      </c>
      <c r="J18" s="19">
        <f t="shared" si="2"/>
      </c>
      <c r="K18" s="20" t="str">
        <f t="shared" si="0"/>
        <v>trop vieux</v>
      </c>
      <c r="L18" s="172">
        <f t="shared" si="6"/>
        <v>1900</v>
      </c>
      <c r="M18" s="172">
        <f t="shared" si="7"/>
        <v>0</v>
      </c>
      <c r="N18" s="172" t="b">
        <f t="shared" si="5"/>
        <v>0</v>
      </c>
      <c r="O18" s="305" t="e">
        <f>(1/AVERAGE(N18:N20)+1/SMALL((N18:N20),1))/100</f>
        <v>#DIV/0!</v>
      </c>
      <c r="P18" s="172"/>
      <c r="Q18" s="2"/>
    </row>
    <row r="19" spans="2:17" ht="12.75">
      <c r="B19" s="297"/>
      <c r="C19" s="307"/>
      <c r="D19" s="244"/>
      <c r="E19" s="43"/>
      <c r="F19" s="16"/>
      <c r="G19" s="16"/>
      <c r="H19" s="303"/>
      <c r="I19" s="21" t="str">
        <f t="shared" si="1"/>
        <v>?</v>
      </c>
      <c r="J19" s="22">
        <f t="shared" si="2"/>
      </c>
      <c r="K19" s="23" t="str">
        <f t="shared" si="0"/>
        <v>trop vieux</v>
      </c>
      <c r="L19" s="172">
        <f t="shared" si="6"/>
        <v>1900</v>
      </c>
      <c r="M19" s="172">
        <f t="shared" si="7"/>
        <v>0</v>
      </c>
      <c r="N19" s="172" t="b">
        <f t="shared" si="5"/>
        <v>0</v>
      </c>
      <c r="O19" s="305"/>
      <c r="P19" s="172"/>
      <c r="Q19" s="2"/>
    </row>
    <row r="20" spans="2:17" ht="13.5" thickBot="1">
      <c r="B20" s="298"/>
      <c r="C20" s="308"/>
      <c r="D20" s="246"/>
      <c r="E20" s="44"/>
      <c r="F20" s="17"/>
      <c r="G20" s="17"/>
      <c r="H20" s="304"/>
      <c r="I20" s="24" t="str">
        <f t="shared" si="1"/>
        <v>?</v>
      </c>
      <c r="J20" s="175">
        <f t="shared" si="2"/>
      </c>
      <c r="K20" s="26" t="str">
        <f t="shared" si="0"/>
        <v>trop vieux</v>
      </c>
      <c r="L20" s="172">
        <f t="shared" si="6"/>
        <v>1900</v>
      </c>
      <c r="M20" s="172">
        <f t="shared" si="7"/>
        <v>0</v>
      </c>
      <c r="N20" s="172" t="b">
        <f t="shared" si="5"/>
        <v>0</v>
      </c>
      <c r="O20" s="305"/>
      <c r="P20" s="172"/>
      <c r="Q20" s="2"/>
    </row>
    <row r="21" spans="2:17" ht="12.75">
      <c r="B21" s="296">
        <v>7</v>
      </c>
      <c r="C21" s="299" t="s">
        <v>88</v>
      </c>
      <c r="D21" s="243" t="s">
        <v>89</v>
      </c>
      <c r="E21" s="42">
        <v>36172</v>
      </c>
      <c r="F21" s="15" t="s">
        <v>41</v>
      </c>
      <c r="G21" s="15"/>
      <c r="H21" s="302">
        <f>IF(COUNTA(G21),"X",IF(COUNTA(G22),"X",IF(COUNTA(G23),"X","")))</f>
      </c>
      <c r="I21" s="18">
        <f t="shared" si="1"/>
        <v>9</v>
      </c>
      <c r="J21" s="19" t="str">
        <f t="shared" si="2"/>
        <v>ans</v>
      </c>
      <c r="K21" s="20">
        <f t="shared" si="0"/>
      </c>
      <c r="L21" s="172">
        <f t="shared" si="6"/>
        <v>1999</v>
      </c>
      <c r="M21" s="172">
        <f t="shared" si="7"/>
        <v>36172</v>
      </c>
      <c r="N21" s="172">
        <f t="shared" si="5"/>
        <v>3458</v>
      </c>
      <c r="O21" s="305">
        <f>(1/AVERAGE(N21:N23)+1/SMALL((N21:N23),1))/100</f>
        <v>5.571612750569522E-06</v>
      </c>
      <c r="P21" s="172"/>
      <c r="Q21" s="2"/>
    </row>
    <row r="22" spans="2:17" ht="12.75">
      <c r="B22" s="297"/>
      <c r="C22" s="300"/>
      <c r="D22" s="244" t="s">
        <v>90</v>
      </c>
      <c r="E22" s="43">
        <v>35519</v>
      </c>
      <c r="F22" s="16" t="s">
        <v>41</v>
      </c>
      <c r="G22" s="16"/>
      <c r="H22" s="303"/>
      <c r="I22" s="21">
        <f t="shared" si="1"/>
        <v>11</v>
      </c>
      <c r="J22" s="22" t="str">
        <f t="shared" si="2"/>
        <v>ans</v>
      </c>
      <c r="K22" s="23">
        <f t="shared" si="0"/>
      </c>
      <c r="L22" s="172">
        <f t="shared" si="6"/>
        <v>1997</v>
      </c>
      <c r="M22" s="172">
        <f t="shared" si="7"/>
        <v>35519</v>
      </c>
      <c r="N22" s="172">
        <f t="shared" si="5"/>
        <v>4111</v>
      </c>
      <c r="O22" s="305"/>
      <c r="P22" s="172"/>
      <c r="Q22" s="2"/>
    </row>
    <row r="23" spans="2:17" ht="13.5" thickBot="1">
      <c r="B23" s="298"/>
      <c r="C23" s="301"/>
      <c r="D23" s="246" t="s">
        <v>127</v>
      </c>
      <c r="E23" s="44">
        <v>36004</v>
      </c>
      <c r="F23" s="17" t="s">
        <v>41</v>
      </c>
      <c r="G23" s="17"/>
      <c r="H23" s="304"/>
      <c r="I23" s="24">
        <f t="shared" si="1"/>
        <v>9</v>
      </c>
      <c r="J23" s="175" t="str">
        <f t="shared" si="2"/>
        <v>ans</v>
      </c>
      <c r="K23" s="26">
        <f t="shared" si="0"/>
      </c>
      <c r="L23" s="172">
        <f t="shared" si="6"/>
        <v>1998</v>
      </c>
      <c r="M23" s="172">
        <f t="shared" si="7"/>
        <v>36004</v>
      </c>
      <c r="N23" s="172">
        <f t="shared" si="5"/>
        <v>3626</v>
      </c>
      <c r="O23" s="305"/>
      <c r="P23" s="172"/>
      <c r="Q23" s="2"/>
    </row>
    <row r="24" spans="2:17" ht="12.75">
      <c r="B24" s="296">
        <v>8</v>
      </c>
      <c r="C24" s="299" t="s">
        <v>92</v>
      </c>
      <c r="D24" s="243" t="s">
        <v>93</v>
      </c>
      <c r="E24" s="42">
        <v>36520</v>
      </c>
      <c r="F24" s="15"/>
      <c r="G24" s="15" t="s">
        <v>41</v>
      </c>
      <c r="H24" s="302" t="str">
        <f>IF(COUNTA(G24),"X",IF(COUNTA(G25),"X",IF(COUNTA(G26),"X","")))</f>
        <v>X</v>
      </c>
      <c r="I24" s="18">
        <f t="shared" si="1"/>
        <v>8</v>
      </c>
      <c r="J24" s="19" t="str">
        <f t="shared" si="2"/>
        <v>ans</v>
      </c>
      <c r="K24" s="20" t="str">
        <f>IF(I24&lt;9,"trop jeune",IF(I24&gt;15,"trop vieux",""))</f>
        <v>trop jeune</v>
      </c>
      <c r="L24" s="172">
        <f t="shared" si="6"/>
        <v>1999</v>
      </c>
      <c r="M24" s="172">
        <f t="shared" si="7"/>
        <v>36520</v>
      </c>
      <c r="N24" s="172">
        <f t="shared" si="5"/>
        <v>3110</v>
      </c>
      <c r="O24" s="305">
        <f>(1/AVERAGE(N24:N26)+1/SMALL((N24:N26),1))/100</f>
        <v>6.321345668651499E-06</v>
      </c>
      <c r="P24" s="172"/>
      <c r="Q24" s="2"/>
    </row>
    <row r="25" spans="2:17" ht="12.75">
      <c r="B25" s="297"/>
      <c r="C25" s="300"/>
      <c r="D25" s="244" t="s">
        <v>94</v>
      </c>
      <c r="E25" s="43">
        <v>36412</v>
      </c>
      <c r="F25" s="16"/>
      <c r="G25" s="16" t="s">
        <v>41</v>
      </c>
      <c r="H25" s="303"/>
      <c r="I25" s="21">
        <f t="shared" si="1"/>
        <v>8</v>
      </c>
      <c r="J25" s="22" t="str">
        <f t="shared" si="2"/>
        <v>ans</v>
      </c>
      <c r="K25" s="23" t="str">
        <f aca="true" t="shared" si="8" ref="K25:K88">IF(I25&lt;9,"trop jeune",IF(I25&gt;15,"trop vieux",""))</f>
        <v>trop jeune</v>
      </c>
      <c r="L25" s="172">
        <f t="shared" si="6"/>
        <v>1999</v>
      </c>
      <c r="M25" s="172">
        <f t="shared" si="7"/>
        <v>36412</v>
      </c>
      <c r="N25" s="172">
        <f t="shared" si="5"/>
        <v>3218</v>
      </c>
      <c r="O25" s="305"/>
      <c r="P25" s="172"/>
      <c r="Q25" s="2"/>
    </row>
    <row r="26" spans="2:17" ht="13.5" thickBot="1">
      <c r="B26" s="298"/>
      <c r="C26" s="301"/>
      <c r="D26" s="246" t="s">
        <v>125</v>
      </c>
      <c r="E26" s="44">
        <v>36299</v>
      </c>
      <c r="F26" s="17" t="s">
        <v>41</v>
      </c>
      <c r="G26" s="17"/>
      <c r="H26" s="304"/>
      <c r="I26" s="24">
        <f t="shared" si="1"/>
        <v>9</v>
      </c>
      <c r="J26" s="175" t="str">
        <f t="shared" si="2"/>
        <v>ans</v>
      </c>
      <c r="K26" s="26">
        <f t="shared" si="8"/>
      </c>
      <c r="L26" s="172">
        <f t="shared" si="6"/>
        <v>1999</v>
      </c>
      <c r="M26" s="172">
        <f t="shared" si="7"/>
        <v>36299</v>
      </c>
      <c r="N26" s="172">
        <f t="shared" si="5"/>
        <v>3331</v>
      </c>
      <c r="O26" s="305"/>
      <c r="P26" s="172"/>
      <c r="Q26" s="2"/>
    </row>
    <row r="27" spans="2:17" ht="12.75">
      <c r="B27" s="296">
        <v>9</v>
      </c>
      <c r="C27" s="299" t="s">
        <v>118</v>
      </c>
      <c r="D27" s="243" t="s">
        <v>95</v>
      </c>
      <c r="E27" s="42">
        <v>35735</v>
      </c>
      <c r="F27" s="15" t="s">
        <v>41</v>
      </c>
      <c r="G27" s="15"/>
      <c r="H27" s="302" t="str">
        <f>IF(COUNTA(G27),"X",IF(COUNTA(G28),"X",IF(COUNTA(G29),"X","")))</f>
        <v>X</v>
      </c>
      <c r="I27" s="18">
        <f t="shared" si="1"/>
        <v>10</v>
      </c>
      <c r="J27" s="19" t="str">
        <f t="shared" si="2"/>
        <v>ans</v>
      </c>
      <c r="K27" s="20">
        <f t="shared" si="8"/>
      </c>
      <c r="L27" s="172">
        <f t="shared" si="6"/>
        <v>1997</v>
      </c>
      <c r="M27" s="172">
        <f t="shared" si="7"/>
        <v>35735</v>
      </c>
      <c r="N27" s="172">
        <f t="shared" si="5"/>
        <v>3895</v>
      </c>
      <c r="O27" s="305">
        <f>(1/AVERAGE(N27:N29)+1/SMALL((N27:N29),1))/100</f>
        <v>5.054750035628687E-06</v>
      </c>
      <c r="P27" s="172"/>
      <c r="Q27" s="2"/>
    </row>
    <row r="28" spans="2:17" ht="12.75">
      <c r="B28" s="297"/>
      <c r="C28" s="300"/>
      <c r="D28" s="244" t="s">
        <v>96</v>
      </c>
      <c r="E28" s="43">
        <v>35556</v>
      </c>
      <c r="F28" s="16"/>
      <c r="G28" s="16" t="s">
        <v>41</v>
      </c>
      <c r="H28" s="303"/>
      <c r="I28" s="21">
        <f t="shared" si="1"/>
        <v>11</v>
      </c>
      <c r="J28" s="22" t="str">
        <f t="shared" si="2"/>
        <v>ans</v>
      </c>
      <c r="K28" s="23">
        <f t="shared" si="8"/>
      </c>
      <c r="L28" s="172">
        <f t="shared" si="6"/>
        <v>1997</v>
      </c>
      <c r="M28" s="172">
        <f t="shared" si="7"/>
        <v>35556</v>
      </c>
      <c r="N28" s="172">
        <f t="shared" si="5"/>
        <v>4074</v>
      </c>
      <c r="O28" s="305"/>
      <c r="P28" s="172"/>
      <c r="Q28" s="2"/>
    </row>
    <row r="29" spans="2:17" ht="13.5" thickBot="1">
      <c r="B29" s="298"/>
      <c r="C29" s="301"/>
      <c r="D29" s="246" t="s">
        <v>97</v>
      </c>
      <c r="E29" s="44">
        <v>35538</v>
      </c>
      <c r="F29" s="17" t="s">
        <v>41</v>
      </c>
      <c r="G29" s="17"/>
      <c r="H29" s="304"/>
      <c r="I29" s="24">
        <f t="shared" si="1"/>
        <v>11</v>
      </c>
      <c r="J29" s="175" t="str">
        <f t="shared" si="2"/>
        <v>ans</v>
      </c>
      <c r="K29" s="26">
        <f t="shared" si="8"/>
      </c>
      <c r="L29" s="172">
        <f t="shared" si="6"/>
        <v>1997</v>
      </c>
      <c r="M29" s="172">
        <f t="shared" si="7"/>
        <v>35538</v>
      </c>
      <c r="N29" s="172">
        <f t="shared" si="5"/>
        <v>4092</v>
      </c>
      <c r="O29" s="305"/>
      <c r="P29" s="172"/>
      <c r="Q29" s="2"/>
    </row>
    <row r="30" spans="2:17" ht="12.75">
      <c r="B30" s="296">
        <v>10</v>
      </c>
      <c r="C30" s="299" t="s">
        <v>98</v>
      </c>
      <c r="D30" s="243" t="s">
        <v>99</v>
      </c>
      <c r="E30" s="42">
        <v>36246</v>
      </c>
      <c r="F30" s="15" t="s">
        <v>41</v>
      </c>
      <c r="G30" s="15"/>
      <c r="H30" s="302">
        <f>IF(COUNTA(G30),"X",IF(COUNTA(G31),"X",IF(COUNTA(G32),"X","")))</f>
      </c>
      <c r="I30" s="18">
        <f t="shared" si="1"/>
        <v>9</v>
      </c>
      <c r="J30" s="19" t="str">
        <f t="shared" si="2"/>
        <v>ans</v>
      </c>
      <c r="K30" s="20">
        <f t="shared" si="8"/>
      </c>
      <c r="L30" s="172">
        <f t="shared" si="6"/>
        <v>1999</v>
      </c>
      <c r="M30" s="172">
        <f t="shared" si="7"/>
        <v>36246</v>
      </c>
      <c r="N30" s="172">
        <f t="shared" si="5"/>
        <v>3384</v>
      </c>
      <c r="O30" s="305">
        <f>(1/AVERAGE(N30:N32)+1/SMALL((N30:N32),1))/100</f>
        <v>6.307455982368951E-06</v>
      </c>
      <c r="P30" s="172"/>
      <c r="Q30" s="2"/>
    </row>
    <row r="31" spans="2:17" ht="12.75">
      <c r="B31" s="297"/>
      <c r="C31" s="300"/>
      <c r="D31" s="244" t="s">
        <v>100</v>
      </c>
      <c r="E31" s="43">
        <v>36514</v>
      </c>
      <c r="F31" s="16" t="s">
        <v>41</v>
      </c>
      <c r="G31" s="16"/>
      <c r="H31" s="303"/>
      <c r="I31" s="21">
        <f t="shared" si="1"/>
        <v>8</v>
      </c>
      <c r="J31" s="22" t="str">
        <f t="shared" si="2"/>
        <v>ans</v>
      </c>
      <c r="K31" s="23" t="str">
        <f t="shared" si="8"/>
        <v>trop jeune</v>
      </c>
      <c r="L31" s="172">
        <f t="shared" si="6"/>
        <v>1999</v>
      </c>
      <c r="M31" s="172">
        <f t="shared" si="7"/>
        <v>36514</v>
      </c>
      <c r="N31" s="172">
        <f t="shared" si="5"/>
        <v>3116</v>
      </c>
      <c r="O31" s="305"/>
      <c r="P31" s="172"/>
      <c r="Q31" s="2"/>
    </row>
    <row r="32" spans="2:17" ht="13.5" thickBot="1">
      <c r="B32" s="298"/>
      <c r="C32" s="301"/>
      <c r="D32" s="246" t="s">
        <v>101</v>
      </c>
      <c r="E32" s="44">
        <v>36447</v>
      </c>
      <c r="F32" s="17" t="s">
        <v>41</v>
      </c>
      <c r="G32" s="17"/>
      <c r="H32" s="304"/>
      <c r="I32" s="24">
        <f t="shared" si="1"/>
        <v>8</v>
      </c>
      <c r="J32" s="175" t="str">
        <f t="shared" si="2"/>
        <v>ans</v>
      </c>
      <c r="K32" s="26" t="str">
        <f t="shared" si="8"/>
        <v>trop jeune</v>
      </c>
      <c r="L32" s="172">
        <f t="shared" si="6"/>
        <v>1999</v>
      </c>
      <c r="M32" s="172">
        <f t="shared" si="7"/>
        <v>36447</v>
      </c>
      <c r="N32" s="172">
        <f t="shared" si="5"/>
        <v>3183</v>
      </c>
      <c r="O32" s="305"/>
      <c r="P32" s="172"/>
      <c r="Q32" s="2"/>
    </row>
    <row r="33" spans="2:17" ht="12.75">
      <c r="B33" s="296">
        <v>11</v>
      </c>
      <c r="C33" s="299" t="s">
        <v>102</v>
      </c>
      <c r="D33" s="243" t="s">
        <v>103</v>
      </c>
      <c r="E33" s="42">
        <v>35590</v>
      </c>
      <c r="F33" s="15"/>
      <c r="G33" s="15" t="s">
        <v>41</v>
      </c>
      <c r="H33" s="302" t="str">
        <f>IF(COUNTA(G33),"X",IF(COUNTA(G34),"X",IF(COUNTA(G35),"X","")))</f>
        <v>X</v>
      </c>
      <c r="I33" s="18">
        <f t="shared" si="1"/>
        <v>11</v>
      </c>
      <c r="J33" s="19" t="str">
        <f t="shared" si="2"/>
        <v>ans</v>
      </c>
      <c r="K33" s="20">
        <f t="shared" si="8"/>
      </c>
      <c r="L33" s="172">
        <f t="shared" si="6"/>
        <v>1997</v>
      </c>
      <c r="M33" s="172">
        <f t="shared" si="7"/>
        <v>35590</v>
      </c>
      <c r="N33" s="172">
        <f t="shared" si="5"/>
        <v>4040</v>
      </c>
      <c r="O33" s="305">
        <f>(1/AVERAGE(N33:N35)+1/SMALL((N33:N35),1))/100</f>
        <v>5.017675473089945E-06</v>
      </c>
      <c r="P33" s="172"/>
      <c r="Q33" s="2"/>
    </row>
    <row r="34" spans="2:17" ht="12.75">
      <c r="B34" s="297"/>
      <c r="C34" s="300"/>
      <c r="D34" s="244" t="s">
        <v>104</v>
      </c>
      <c r="E34" s="43">
        <v>35663</v>
      </c>
      <c r="F34" s="16"/>
      <c r="G34" s="16" t="s">
        <v>41</v>
      </c>
      <c r="H34" s="303"/>
      <c r="I34" s="21">
        <f t="shared" si="1"/>
        <v>10</v>
      </c>
      <c r="J34" s="22" t="str">
        <f t="shared" si="2"/>
        <v>ans</v>
      </c>
      <c r="K34" s="23">
        <f t="shared" si="8"/>
      </c>
      <c r="L34" s="172">
        <f t="shared" si="6"/>
        <v>1997</v>
      </c>
      <c r="M34" s="172">
        <f t="shared" si="7"/>
        <v>35663</v>
      </c>
      <c r="N34" s="172">
        <f t="shared" si="5"/>
        <v>3967</v>
      </c>
      <c r="O34" s="305"/>
      <c r="P34" s="172"/>
      <c r="Q34" s="2"/>
    </row>
    <row r="35" spans="2:17" ht="13.5" thickBot="1">
      <c r="B35" s="298"/>
      <c r="C35" s="301"/>
      <c r="D35" s="246" t="s">
        <v>105</v>
      </c>
      <c r="E35" s="293">
        <v>35622</v>
      </c>
      <c r="F35" s="17"/>
      <c r="G35" s="17" t="s">
        <v>41</v>
      </c>
      <c r="H35" s="304"/>
      <c r="I35" s="24">
        <f t="shared" si="1"/>
        <v>10</v>
      </c>
      <c r="J35" s="175" t="str">
        <f t="shared" si="2"/>
        <v>ans</v>
      </c>
      <c r="K35" s="26">
        <f t="shared" si="8"/>
      </c>
      <c r="L35" s="172">
        <f t="shared" si="6"/>
        <v>1997</v>
      </c>
      <c r="M35" s="172">
        <f t="shared" si="7"/>
        <v>35622</v>
      </c>
      <c r="N35" s="172">
        <f t="shared" si="5"/>
        <v>4008</v>
      </c>
      <c r="O35" s="305"/>
      <c r="P35" s="172"/>
      <c r="Q35" s="2"/>
    </row>
    <row r="36" spans="2:17" ht="12.75">
      <c r="B36" s="296">
        <v>12</v>
      </c>
      <c r="C36" s="299" t="s">
        <v>106</v>
      </c>
      <c r="D36" s="243" t="s">
        <v>107</v>
      </c>
      <c r="E36" s="42">
        <v>35669</v>
      </c>
      <c r="F36" s="15"/>
      <c r="G36" s="15" t="s">
        <v>41</v>
      </c>
      <c r="H36" s="302" t="str">
        <f>IF(COUNTA(G36),"X",IF(COUNTA(G37),"X",IF(COUNTA(G38),"X","")))</f>
        <v>X</v>
      </c>
      <c r="I36" s="18">
        <f t="shared" si="1"/>
        <v>10</v>
      </c>
      <c r="J36" s="19" t="str">
        <f t="shared" si="2"/>
        <v>ans</v>
      </c>
      <c r="K36" s="20">
        <f t="shared" si="8"/>
      </c>
      <c r="L36" s="172">
        <f t="shared" si="6"/>
        <v>1997</v>
      </c>
      <c r="M36" s="172">
        <f t="shared" si="7"/>
        <v>35669</v>
      </c>
      <c r="N36" s="172">
        <f t="shared" si="5"/>
        <v>3961</v>
      </c>
      <c r="O36" s="305">
        <f>(1/AVERAGE(N36:N38)+1/SMALL((N36:N38),1))/100</f>
        <v>5.086858496880742E-06</v>
      </c>
      <c r="P36" s="172"/>
      <c r="Q36" s="2"/>
    </row>
    <row r="37" spans="2:17" ht="12.75">
      <c r="B37" s="297"/>
      <c r="C37" s="300"/>
      <c r="D37" s="244" t="s">
        <v>108</v>
      </c>
      <c r="E37" s="43">
        <v>35479</v>
      </c>
      <c r="F37" s="16"/>
      <c r="G37" s="16" t="s">
        <v>41</v>
      </c>
      <c r="H37" s="303"/>
      <c r="I37" s="21">
        <f t="shared" si="1"/>
        <v>11</v>
      </c>
      <c r="J37" s="22" t="str">
        <f t="shared" si="2"/>
        <v>ans</v>
      </c>
      <c r="K37" s="23">
        <f t="shared" si="8"/>
      </c>
      <c r="L37" s="172">
        <f t="shared" si="6"/>
        <v>1997</v>
      </c>
      <c r="M37" s="172">
        <f t="shared" si="7"/>
        <v>35479</v>
      </c>
      <c r="N37" s="172">
        <f t="shared" si="5"/>
        <v>4151</v>
      </c>
      <c r="O37" s="305"/>
      <c r="P37" s="172"/>
      <c r="Q37" s="2"/>
    </row>
    <row r="38" spans="2:17" ht="13.5" thickBot="1">
      <c r="B38" s="298"/>
      <c r="C38" s="301"/>
      <c r="D38" s="246" t="s">
        <v>109</v>
      </c>
      <c r="E38" s="44">
        <v>35759</v>
      </c>
      <c r="F38" s="17"/>
      <c r="G38" s="17" t="s">
        <v>41</v>
      </c>
      <c r="H38" s="304"/>
      <c r="I38" s="24">
        <f t="shared" si="1"/>
        <v>10</v>
      </c>
      <c r="J38" s="175" t="str">
        <f t="shared" si="2"/>
        <v>ans</v>
      </c>
      <c r="K38" s="26">
        <f t="shared" si="8"/>
      </c>
      <c r="L38" s="172">
        <f t="shared" si="6"/>
        <v>1997</v>
      </c>
      <c r="M38" s="172">
        <f t="shared" si="7"/>
        <v>35759</v>
      </c>
      <c r="N38" s="172">
        <f t="shared" si="5"/>
        <v>3871</v>
      </c>
      <c r="O38" s="305"/>
      <c r="P38" s="172"/>
      <c r="Q38" s="2"/>
    </row>
    <row r="39" spans="2:17" ht="12.75">
      <c r="B39" s="296">
        <v>13</v>
      </c>
      <c r="C39" s="299" t="s">
        <v>110</v>
      </c>
      <c r="D39" s="243" t="s">
        <v>43</v>
      </c>
      <c r="E39" s="42">
        <v>35553</v>
      </c>
      <c r="F39" s="15" t="s">
        <v>41</v>
      </c>
      <c r="G39" s="15"/>
      <c r="H39" s="302">
        <f>IF(COUNTA(G39),"X",IF(COUNTA(G40),"X",IF(COUNTA(G41),"X","")))</f>
      </c>
      <c r="I39" s="18">
        <f t="shared" si="1"/>
        <v>11</v>
      </c>
      <c r="J39" s="19" t="str">
        <f t="shared" si="2"/>
        <v>ans</v>
      </c>
      <c r="K39" s="20">
        <f t="shared" si="8"/>
      </c>
      <c r="L39" s="172">
        <f t="shared" si="6"/>
        <v>1997</v>
      </c>
      <c r="M39" s="172">
        <f t="shared" si="7"/>
        <v>35553</v>
      </c>
      <c r="N39" s="172">
        <f t="shared" si="5"/>
        <v>4077</v>
      </c>
      <c r="O39" s="305">
        <f>(1/AVERAGE(N39:N41)+1/SMALL((N39:N41),1))/100</f>
        <v>4.845891759131298E-06</v>
      </c>
      <c r="P39" s="172"/>
      <c r="Q39" s="2"/>
    </row>
    <row r="40" spans="2:17" ht="12.75">
      <c r="B40" s="297"/>
      <c r="C40" s="300"/>
      <c r="D40" s="244" t="s">
        <v>111</v>
      </c>
      <c r="E40" s="43">
        <v>35550</v>
      </c>
      <c r="F40" s="16" t="s">
        <v>41</v>
      </c>
      <c r="G40" s="16"/>
      <c r="H40" s="303"/>
      <c r="I40" s="21">
        <f t="shared" si="1"/>
        <v>11</v>
      </c>
      <c r="J40" s="22" t="str">
        <f t="shared" si="2"/>
        <v>ans</v>
      </c>
      <c r="K40" s="23">
        <f t="shared" si="8"/>
      </c>
      <c r="L40" s="172">
        <f t="shared" si="6"/>
        <v>1997</v>
      </c>
      <c r="M40" s="172">
        <f t="shared" si="7"/>
        <v>35550</v>
      </c>
      <c r="N40" s="172">
        <f t="shared" si="5"/>
        <v>4080</v>
      </c>
      <c r="O40" s="305"/>
      <c r="P40" s="172"/>
      <c r="Q40" s="2"/>
    </row>
    <row r="41" spans="2:17" ht="13.5" thickBot="1">
      <c r="B41" s="298"/>
      <c r="C41" s="301"/>
      <c r="D41" s="246" t="s">
        <v>112</v>
      </c>
      <c r="E41" s="44">
        <v>35251</v>
      </c>
      <c r="F41" s="17" t="s">
        <v>41</v>
      </c>
      <c r="G41" s="17"/>
      <c r="H41" s="304"/>
      <c r="I41" s="24">
        <f t="shared" si="1"/>
        <v>11</v>
      </c>
      <c r="J41" s="175" t="str">
        <f t="shared" si="2"/>
        <v>ans</v>
      </c>
      <c r="K41" s="26">
        <f t="shared" si="8"/>
      </c>
      <c r="L41" s="172">
        <f t="shared" si="6"/>
        <v>1996</v>
      </c>
      <c r="M41" s="172">
        <f t="shared" si="7"/>
        <v>35251</v>
      </c>
      <c r="N41" s="172">
        <f t="shared" si="5"/>
        <v>4379</v>
      </c>
      <c r="O41" s="305"/>
      <c r="P41" s="172"/>
      <c r="Q41" s="2"/>
    </row>
    <row r="42" spans="2:17" ht="12.75">
      <c r="B42" s="296">
        <v>14</v>
      </c>
      <c r="C42" s="299" t="s">
        <v>113</v>
      </c>
      <c r="D42" s="243" t="s">
        <v>52</v>
      </c>
      <c r="E42" s="42">
        <v>35892</v>
      </c>
      <c r="F42" s="15"/>
      <c r="G42" s="15" t="s">
        <v>41</v>
      </c>
      <c r="H42" s="302" t="str">
        <f>IF(COUNTA(G42),"X",IF(COUNTA(G43),"X",IF(COUNTA(G44),"X","")))</f>
        <v>X</v>
      </c>
      <c r="I42" s="18">
        <f t="shared" si="1"/>
        <v>10</v>
      </c>
      <c r="J42" s="19" t="str">
        <f t="shared" si="2"/>
        <v>ans</v>
      </c>
      <c r="K42" s="20">
        <f t="shared" si="8"/>
      </c>
      <c r="L42" s="172">
        <f t="shared" si="6"/>
        <v>1998</v>
      </c>
      <c r="M42" s="172">
        <f t="shared" si="7"/>
        <v>35892</v>
      </c>
      <c r="N42" s="172">
        <f t="shared" si="5"/>
        <v>3738</v>
      </c>
      <c r="O42" s="305">
        <f>(1/AVERAGE(N42:N44)+1/SMALL((N42:N44),1))/100</f>
        <v>5.194119081985949E-06</v>
      </c>
      <c r="P42" s="172"/>
      <c r="Q42" s="2"/>
    </row>
    <row r="43" spans="2:17" ht="12.75">
      <c r="B43" s="297"/>
      <c r="C43" s="300"/>
      <c r="D43" s="244" t="s">
        <v>46</v>
      </c>
      <c r="E43" s="43">
        <v>35543</v>
      </c>
      <c r="F43" s="16" t="s">
        <v>41</v>
      </c>
      <c r="G43" s="16"/>
      <c r="H43" s="303"/>
      <c r="I43" s="21">
        <f t="shared" si="1"/>
        <v>11</v>
      </c>
      <c r="J43" s="22" t="str">
        <f t="shared" si="2"/>
        <v>ans</v>
      </c>
      <c r="K43" s="23">
        <f t="shared" si="8"/>
      </c>
      <c r="L43" s="172">
        <f t="shared" si="6"/>
        <v>1997</v>
      </c>
      <c r="M43" s="172">
        <f t="shared" si="7"/>
        <v>35543</v>
      </c>
      <c r="N43" s="172">
        <f t="shared" si="5"/>
        <v>4087</v>
      </c>
      <c r="O43" s="305"/>
      <c r="P43" s="172"/>
      <c r="Q43" s="2"/>
    </row>
    <row r="44" spans="2:17" ht="13.5" thickBot="1">
      <c r="B44" s="298"/>
      <c r="C44" s="301"/>
      <c r="D44" s="246" t="s">
        <v>114</v>
      </c>
      <c r="E44" s="44">
        <v>35545</v>
      </c>
      <c r="F44" s="17" t="s">
        <v>41</v>
      </c>
      <c r="G44" s="17"/>
      <c r="H44" s="304"/>
      <c r="I44" s="24">
        <f t="shared" si="1"/>
        <v>11</v>
      </c>
      <c r="J44" s="175" t="str">
        <f t="shared" si="2"/>
        <v>ans</v>
      </c>
      <c r="K44" s="26">
        <f t="shared" si="8"/>
      </c>
      <c r="L44" s="172">
        <f t="shared" si="6"/>
        <v>1997</v>
      </c>
      <c r="M44" s="172">
        <f t="shared" si="7"/>
        <v>35545</v>
      </c>
      <c r="N44" s="172">
        <f t="shared" si="5"/>
        <v>4085</v>
      </c>
      <c r="O44" s="305"/>
      <c r="P44" s="172"/>
      <c r="Q44" s="2"/>
    </row>
    <row r="45" spans="2:17" ht="12.75">
      <c r="B45" s="296">
        <v>15</v>
      </c>
      <c r="C45" s="299" t="s">
        <v>115</v>
      </c>
      <c r="D45" s="243" t="s">
        <v>111</v>
      </c>
      <c r="E45" s="42">
        <v>34926</v>
      </c>
      <c r="F45" s="15" t="s">
        <v>41</v>
      </c>
      <c r="G45" s="15"/>
      <c r="H45" s="302">
        <f>IF(COUNTA(G45),"X",IF(COUNTA(G46),"X",IF(COUNTA(G47),"X","")))</f>
      </c>
      <c r="I45" s="18">
        <f t="shared" si="1"/>
        <v>12</v>
      </c>
      <c r="J45" s="19" t="str">
        <f t="shared" si="2"/>
        <v>ans</v>
      </c>
      <c r="K45" s="20">
        <f t="shared" si="8"/>
      </c>
      <c r="L45" s="172">
        <f t="shared" si="3"/>
        <v>1995</v>
      </c>
      <c r="M45" s="172">
        <f t="shared" si="4"/>
        <v>34926</v>
      </c>
      <c r="N45" s="172">
        <f t="shared" si="5"/>
        <v>4704</v>
      </c>
      <c r="O45" s="305">
        <f>(1/AVERAGE(N45:N47)+1/SMALL((N45:N47),1))/100</f>
        <v>4.246413812267315E-06</v>
      </c>
      <c r="P45" s="172"/>
      <c r="Q45" s="2"/>
    </row>
    <row r="46" spans="2:17" ht="12.75">
      <c r="B46" s="297"/>
      <c r="C46" s="300"/>
      <c r="D46" s="244" t="s">
        <v>116</v>
      </c>
      <c r="E46" s="43">
        <v>34987</v>
      </c>
      <c r="F46" s="16" t="s">
        <v>41</v>
      </c>
      <c r="G46" s="16"/>
      <c r="H46" s="303"/>
      <c r="I46" s="21">
        <f t="shared" si="1"/>
        <v>12</v>
      </c>
      <c r="J46" s="22" t="str">
        <f t="shared" si="2"/>
        <v>ans</v>
      </c>
      <c r="K46" s="23">
        <f t="shared" si="8"/>
      </c>
      <c r="L46" s="172">
        <f t="shared" si="3"/>
        <v>1995</v>
      </c>
      <c r="M46" s="172">
        <f t="shared" si="4"/>
        <v>34987</v>
      </c>
      <c r="N46" s="172">
        <f t="shared" si="5"/>
        <v>4643</v>
      </c>
      <c r="O46" s="305"/>
      <c r="P46" s="172"/>
      <c r="Q46" s="2"/>
    </row>
    <row r="47" spans="2:17" ht="13.5" thickBot="1">
      <c r="B47" s="298"/>
      <c r="C47" s="301"/>
      <c r="D47" s="246" t="s">
        <v>117</v>
      </c>
      <c r="E47" s="44">
        <v>34641</v>
      </c>
      <c r="F47" s="17" t="s">
        <v>41</v>
      </c>
      <c r="G47" s="17"/>
      <c r="H47" s="304"/>
      <c r="I47" s="24">
        <f t="shared" si="1"/>
        <v>13</v>
      </c>
      <c r="J47" s="175" t="str">
        <f t="shared" si="2"/>
        <v>ans</v>
      </c>
      <c r="K47" s="26">
        <f t="shared" si="8"/>
      </c>
      <c r="L47" s="172">
        <f t="shared" si="3"/>
        <v>1994</v>
      </c>
      <c r="M47" s="172">
        <f t="shared" si="4"/>
        <v>34641</v>
      </c>
      <c r="N47" s="172">
        <f t="shared" si="5"/>
        <v>4989</v>
      </c>
      <c r="O47" s="305"/>
      <c r="Q47" s="2"/>
    </row>
    <row r="48" spans="2:17" ht="12.75">
      <c r="B48" s="296">
        <v>16</v>
      </c>
      <c r="C48" s="299" t="s">
        <v>119</v>
      </c>
      <c r="D48" s="294" t="s">
        <v>122</v>
      </c>
      <c r="E48" s="42">
        <v>36245</v>
      </c>
      <c r="F48" s="15" t="s">
        <v>41</v>
      </c>
      <c r="G48" s="15"/>
      <c r="H48" s="302" t="str">
        <f>IF(COUNTA(G48),"X",IF(COUNTA(G49),"X",IF(COUNTA(G50),"X","")))</f>
        <v>X</v>
      </c>
      <c r="I48" s="18">
        <f t="shared" si="1"/>
        <v>9</v>
      </c>
      <c r="J48" s="19" t="str">
        <f t="shared" si="2"/>
        <v>ans</v>
      </c>
      <c r="K48" s="20">
        <f t="shared" si="8"/>
      </c>
      <c r="L48" s="172">
        <f t="shared" si="3"/>
        <v>1999</v>
      </c>
      <c r="M48" s="172">
        <f t="shared" si="4"/>
        <v>36245</v>
      </c>
      <c r="N48" s="172">
        <f t="shared" si="5"/>
        <v>3385</v>
      </c>
      <c r="O48" s="305">
        <f>(1/AVERAGE(N48:N50)+1/SMALL((N48:N50),1))/100</f>
        <v>5.7255723354972515E-06</v>
      </c>
      <c r="Q48" s="2"/>
    </row>
    <row r="49" spans="2:17" ht="12.75">
      <c r="B49" s="297"/>
      <c r="C49" s="300"/>
      <c r="D49" s="244" t="s">
        <v>123</v>
      </c>
      <c r="E49" s="43">
        <v>35776</v>
      </c>
      <c r="F49" s="16" t="s">
        <v>41</v>
      </c>
      <c r="G49" s="16"/>
      <c r="H49" s="303"/>
      <c r="I49" s="21">
        <f t="shared" si="1"/>
        <v>10</v>
      </c>
      <c r="J49" s="22" t="str">
        <f t="shared" si="2"/>
        <v>ans</v>
      </c>
      <c r="K49" s="23">
        <f t="shared" si="8"/>
      </c>
      <c r="L49" s="172">
        <f t="shared" si="3"/>
        <v>1997</v>
      </c>
      <c r="M49" s="172">
        <f t="shared" si="4"/>
        <v>35776</v>
      </c>
      <c r="N49" s="172">
        <f t="shared" si="5"/>
        <v>3854</v>
      </c>
      <c r="O49" s="305"/>
      <c r="Q49" s="2"/>
    </row>
    <row r="50" spans="2:17" ht="13.5" thickBot="1">
      <c r="B50" s="298"/>
      <c r="C50" s="301"/>
      <c r="D50" s="246" t="s">
        <v>124</v>
      </c>
      <c r="E50" s="44">
        <v>36044</v>
      </c>
      <c r="F50" s="17"/>
      <c r="G50" s="17" t="s">
        <v>41</v>
      </c>
      <c r="H50" s="304"/>
      <c r="I50" s="24">
        <f t="shared" si="1"/>
        <v>9</v>
      </c>
      <c r="J50" s="175" t="str">
        <f t="shared" si="2"/>
        <v>ans</v>
      </c>
      <c r="K50" s="26">
        <f t="shared" si="8"/>
      </c>
      <c r="L50" s="172">
        <f t="shared" si="3"/>
        <v>1998</v>
      </c>
      <c r="M50" s="172">
        <f t="shared" si="4"/>
        <v>36044</v>
      </c>
      <c r="N50" s="172">
        <f t="shared" si="5"/>
        <v>3586</v>
      </c>
      <c r="O50" s="305"/>
      <c r="Q50" s="2"/>
    </row>
    <row r="51" spans="2:17" ht="12.75">
      <c r="B51" s="296">
        <v>17</v>
      </c>
      <c r="C51" s="299" t="s">
        <v>131</v>
      </c>
      <c r="D51" s="243" t="s">
        <v>120</v>
      </c>
      <c r="E51" s="42">
        <v>36399</v>
      </c>
      <c r="F51" s="15" t="s">
        <v>41</v>
      </c>
      <c r="G51" s="15"/>
      <c r="H51" s="302">
        <f>IF(COUNTA(G51),"X",IF(COUNTA(G52),"X",IF(COUNTA(G53),"X","")))</f>
      </c>
      <c r="I51" s="18">
        <f t="shared" si="1"/>
        <v>8</v>
      </c>
      <c r="J51" s="19" t="str">
        <f t="shared" si="2"/>
        <v>ans</v>
      </c>
      <c r="K51" s="20" t="str">
        <f t="shared" si="8"/>
        <v>trop jeune</v>
      </c>
      <c r="L51" s="172">
        <f t="shared" si="3"/>
        <v>1999</v>
      </c>
      <c r="M51" s="172">
        <f t="shared" si="4"/>
        <v>36399</v>
      </c>
      <c r="N51" s="172">
        <f t="shared" si="5"/>
        <v>3231</v>
      </c>
      <c r="O51" s="305">
        <f>(1/AVERAGE(N51:N53)+1/SMALL((N51:N53),1))/100</f>
        <v>6.120430495768291E-06</v>
      </c>
      <c r="Q51" s="2"/>
    </row>
    <row r="52" spans="2:17" ht="12.75">
      <c r="B52" s="297"/>
      <c r="C52" s="300"/>
      <c r="D52" s="244" t="s">
        <v>121</v>
      </c>
      <c r="E52" s="43">
        <v>36200</v>
      </c>
      <c r="F52" s="16" t="s">
        <v>41</v>
      </c>
      <c r="G52" s="16"/>
      <c r="H52" s="303"/>
      <c r="I52" s="21">
        <f t="shared" si="1"/>
        <v>9</v>
      </c>
      <c r="J52" s="22" t="str">
        <f t="shared" si="2"/>
        <v>ans</v>
      </c>
      <c r="K52" s="23">
        <f t="shared" si="8"/>
      </c>
      <c r="L52" s="172">
        <f t="shared" si="3"/>
        <v>1999</v>
      </c>
      <c r="M52" s="172">
        <f t="shared" si="4"/>
        <v>36200</v>
      </c>
      <c r="N52" s="172">
        <f t="shared" si="5"/>
        <v>3430</v>
      </c>
      <c r="O52" s="305"/>
      <c r="Q52" s="2"/>
    </row>
    <row r="53" spans="2:17" ht="13.5" thickBot="1">
      <c r="B53" s="298"/>
      <c r="C53" s="301"/>
      <c r="D53" s="246" t="s">
        <v>46</v>
      </c>
      <c r="E53" s="44">
        <v>36375</v>
      </c>
      <c r="F53" s="17" t="s">
        <v>41</v>
      </c>
      <c r="G53" s="17"/>
      <c r="H53" s="304"/>
      <c r="I53" s="24">
        <f t="shared" si="1"/>
        <v>8</v>
      </c>
      <c r="J53" s="175" t="str">
        <f t="shared" si="2"/>
        <v>ans</v>
      </c>
      <c r="K53" s="26" t="str">
        <f t="shared" si="8"/>
        <v>trop jeune</v>
      </c>
      <c r="L53" s="172">
        <f t="shared" si="3"/>
        <v>1999</v>
      </c>
      <c r="M53" s="172">
        <f t="shared" si="4"/>
        <v>36375</v>
      </c>
      <c r="N53" s="172">
        <f t="shared" si="5"/>
        <v>3255</v>
      </c>
      <c r="O53" s="305"/>
      <c r="Q53" s="2"/>
    </row>
    <row r="54" spans="2:17" ht="12.75">
      <c r="B54" s="296">
        <v>18</v>
      </c>
      <c r="C54" s="299" t="s">
        <v>126</v>
      </c>
      <c r="D54" s="243" t="s">
        <v>86</v>
      </c>
      <c r="E54" s="42">
        <v>35724</v>
      </c>
      <c r="F54" s="15" t="s">
        <v>41</v>
      </c>
      <c r="G54" s="15"/>
      <c r="H54" s="302" t="str">
        <f>IF(COUNTA(G54),"X",IF(COUNTA(G55),"X",IF(COUNTA(G56),"X","")))</f>
        <v>X</v>
      </c>
      <c r="I54" s="18">
        <f t="shared" si="1"/>
        <v>10</v>
      </c>
      <c r="J54" s="19" t="str">
        <f t="shared" si="2"/>
        <v>ans</v>
      </c>
      <c r="K54" s="20">
        <f t="shared" si="8"/>
      </c>
      <c r="L54" s="172">
        <f t="shared" si="3"/>
        <v>1997</v>
      </c>
      <c r="M54" s="172">
        <f t="shared" si="4"/>
        <v>35724</v>
      </c>
      <c r="N54" s="172">
        <f t="shared" si="5"/>
        <v>3906</v>
      </c>
      <c r="O54" s="305">
        <f>(1/AVERAGE(N54:N56)+1/SMALL((N54:N56),1))/100</f>
        <v>4.758288117778342E-06</v>
      </c>
      <c r="Q54" s="2"/>
    </row>
    <row r="55" spans="2:17" ht="12.75">
      <c r="B55" s="297"/>
      <c r="C55" s="300"/>
      <c r="D55" s="244" t="s">
        <v>52</v>
      </c>
      <c r="E55" s="43">
        <v>34611</v>
      </c>
      <c r="F55" s="16"/>
      <c r="G55" s="16" t="s">
        <v>41</v>
      </c>
      <c r="H55" s="303"/>
      <c r="I55" s="21">
        <f t="shared" si="1"/>
        <v>13</v>
      </c>
      <c r="J55" s="22" t="str">
        <f t="shared" si="2"/>
        <v>ans</v>
      </c>
      <c r="K55" s="23">
        <f t="shared" si="8"/>
      </c>
      <c r="L55" s="172">
        <f t="shared" si="3"/>
        <v>1994</v>
      </c>
      <c r="M55" s="172">
        <f t="shared" si="4"/>
        <v>34611</v>
      </c>
      <c r="N55" s="172">
        <f t="shared" si="5"/>
        <v>5019</v>
      </c>
      <c r="O55" s="305"/>
      <c r="Q55" s="2"/>
    </row>
    <row r="56" spans="2:17" ht="13.5" thickBot="1">
      <c r="B56" s="298"/>
      <c r="C56" s="301"/>
      <c r="D56" s="246" t="s">
        <v>87</v>
      </c>
      <c r="E56" s="44">
        <v>34907</v>
      </c>
      <c r="F56" s="17" t="s">
        <v>41</v>
      </c>
      <c r="G56" s="17"/>
      <c r="H56" s="304"/>
      <c r="I56" s="24">
        <f t="shared" si="1"/>
        <v>12</v>
      </c>
      <c r="J56" s="175" t="str">
        <f t="shared" si="2"/>
        <v>ans</v>
      </c>
      <c r="K56" s="26">
        <f t="shared" si="8"/>
      </c>
      <c r="L56" s="172">
        <f t="shared" si="3"/>
        <v>1995</v>
      </c>
      <c r="M56" s="172">
        <f t="shared" si="4"/>
        <v>34907</v>
      </c>
      <c r="N56" s="172">
        <f t="shared" si="5"/>
        <v>4723</v>
      </c>
      <c r="O56" s="305"/>
      <c r="Q56" s="2"/>
    </row>
    <row r="57" spans="2:17" ht="12.75">
      <c r="B57" s="296">
        <v>19</v>
      </c>
      <c r="C57" s="299" t="s">
        <v>128</v>
      </c>
      <c r="D57" s="243" t="s">
        <v>91</v>
      </c>
      <c r="E57" s="42">
        <v>35644</v>
      </c>
      <c r="F57" s="15" t="s">
        <v>41</v>
      </c>
      <c r="G57" s="15"/>
      <c r="H57" s="302">
        <f>IF(COUNTA(G57),"X",IF(COUNTA(G58),"X",IF(COUNTA(G59),"X","")))</f>
      </c>
      <c r="I57" s="18">
        <f t="shared" si="1"/>
        <v>10</v>
      </c>
      <c r="J57" s="19" t="str">
        <f t="shared" si="2"/>
        <v>ans</v>
      </c>
      <c r="K57" s="20">
        <f t="shared" si="8"/>
      </c>
      <c r="L57" s="172">
        <f t="shared" si="3"/>
        <v>1997</v>
      </c>
      <c r="M57" s="172">
        <f t="shared" si="4"/>
        <v>35644</v>
      </c>
      <c r="N57" s="172">
        <f t="shared" si="5"/>
        <v>3986</v>
      </c>
      <c r="O57" s="305">
        <f>(1/AVERAGE(N57:N59)+1/SMALL((N57:N59),1))/100</f>
        <v>5.08206312405054E-06</v>
      </c>
      <c r="Q57" s="2"/>
    </row>
    <row r="58" spans="2:17" ht="12.75">
      <c r="B58" s="297"/>
      <c r="C58" s="300"/>
      <c r="D58" s="244" t="s">
        <v>129</v>
      </c>
      <c r="E58" s="43">
        <v>35793</v>
      </c>
      <c r="F58" s="16" t="s">
        <v>41</v>
      </c>
      <c r="G58" s="16"/>
      <c r="H58" s="303"/>
      <c r="I58" s="21">
        <f t="shared" si="1"/>
        <v>10</v>
      </c>
      <c r="J58" s="22" t="str">
        <f t="shared" si="2"/>
        <v>ans</v>
      </c>
      <c r="K58" s="23">
        <f t="shared" si="8"/>
      </c>
      <c r="L58" s="172">
        <f t="shared" si="3"/>
        <v>1997</v>
      </c>
      <c r="M58" s="172">
        <f t="shared" si="4"/>
        <v>35793</v>
      </c>
      <c r="N58" s="172">
        <f t="shared" si="5"/>
        <v>3837</v>
      </c>
      <c r="O58" s="305"/>
      <c r="Q58" s="2"/>
    </row>
    <row r="59" spans="2:17" ht="13.5" thickBot="1">
      <c r="B59" s="298"/>
      <c r="C59" s="301"/>
      <c r="D59" s="246" t="s">
        <v>130</v>
      </c>
      <c r="E59" s="44">
        <v>35336</v>
      </c>
      <c r="F59" s="17" t="s">
        <v>41</v>
      </c>
      <c r="G59" s="17"/>
      <c r="H59" s="304"/>
      <c r="I59" s="24">
        <f t="shared" si="1"/>
        <v>11</v>
      </c>
      <c r="J59" s="175" t="str">
        <f t="shared" si="2"/>
        <v>ans</v>
      </c>
      <c r="K59" s="26">
        <f t="shared" si="8"/>
      </c>
      <c r="L59" s="172">
        <f t="shared" si="3"/>
        <v>1996</v>
      </c>
      <c r="M59" s="172">
        <f t="shared" si="4"/>
        <v>35336</v>
      </c>
      <c r="N59" s="172">
        <f t="shared" si="5"/>
        <v>4294</v>
      </c>
      <c r="O59" s="305"/>
      <c r="Q59" s="2"/>
    </row>
    <row r="60" spans="2:17" ht="12.75">
      <c r="B60" s="296">
        <v>20</v>
      </c>
      <c r="C60" s="306"/>
      <c r="D60" s="243"/>
      <c r="E60" s="42"/>
      <c r="F60" s="15"/>
      <c r="G60" s="15"/>
      <c r="H60" s="302">
        <f>IF(COUNTA(G60),"X",IF(COUNTA(G61),"X",IF(COUNTA(G62),"X","")))</f>
      </c>
      <c r="I60" s="18" t="str">
        <f t="shared" si="1"/>
        <v>?</v>
      </c>
      <c r="J60" s="19">
        <f t="shared" si="2"/>
      </c>
      <c r="K60" s="20" t="str">
        <f t="shared" si="8"/>
        <v>trop vieux</v>
      </c>
      <c r="L60" s="172">
        <f t="shared" si="3"/>
        <v>1900</v>
      </c>
      <c r="M60" s="172">
        <f t="shared" si="4"/>
        <v>0</v>
      </c>
      <c r="N60" s="172" t="b">
        <f t="shared" si="5"/>
        <v>0</v>
      </c>
      <c r="O60" s="305" t="e">
        <f>(1/AVERAGE(N60:N62)+1/SMALL((N60:N62),1))/100</f>
        <v>#DIV/0!</v>
      </c>
      <c r="Q60" s="2"/>
    </row>
    <row r="61" spans="2:17" ht="12.75">
      <c r="B61" s="297"/>
      <c r="C61" s="307"/>
      <c r="D61" s="244"/>
      <c r="E61" s="43"/>
      <c r="F61" s="16"/>
      <c r="G61" s="16"/>
      <c r="H61" s="303"/>
      <c r="I61" s="21" t="str">
        <f t="shared" si="1"/>
        <v>?</v>
      </c>
      <c r="J61" s="22">
        <f t="shared" si="2"/>
      </c>
      <c r="K61" s="23" t="str">
        <f t="shared" si="8"/>
        <v>trop vieux</v>
      </c>
      <c r="L61" s="172">
        <f t="shared" si="3"/>
        <v>1900</v>
      </c>
      <c r="M61" s="172">
        <f t="shared" si="4"/>
        <v>0</v>
      </c>
      <c r="N61" s="172" t="b">
        <f t="shared" si="5"/>
        <v>0</v>
      </c>
      <c r="O61" s="305"/>
      <c r="Q61" s="2"/>
    </row>
    <row r="62" spans="2:17" ht="13.5" thickBot="1">
      <c r="B62" s="298"/>
      <c r="C62" s="308"/>
      <c r="D62" s="246"/>
      <c r="E62" s="44"/>
      <c r="F62" s="17"/>
      <c r="G62" s="17"/>
      <c r="H62" s="304"/>
      <c r="I62" s="24" t="str">
        <f t="shared" si="1"/>
        <v>?</v>
      </c>
      <c r="J62" s="175">
        <f t="shared" si="2"/>
      </c>
      <c r="K62" s="26" t="str">
        <f t="shared" si="8"/>
        <v>trop vieux</v>
      </c>
      <c r="L62" s="172">
        <f t="shared" si="3"/>
        <v>1900</v>
      </c>
      <c r="M62" s="172">
        <f t="shared" si="4"/>
        <v>0</v>
      </c>
      <c r="N62" s="172" t="b">
        <f t="shared" si="5"/>
        <v>0</v>
      </c>
      <c r="O62" s="305"/>
      <c r="Q62" s="2"/>
    </row>
    <row r="63" spans="2:17" ht="12.75">
      <c r="B63" s="296">
        <v>21</v>
      </c>
      <c r="C63" s="306"/>
      <c r="D63" s="243"/>
      <c r="E63" s="42"/>
      <c r="F63" s="15"/>
      <c r="G63" s="15"/>
      <c r="H63" s="302">
        <f>IF(COUNTA(G63),"X",IF(COUNTA(G64),"X",IF(COUNTA(G65),"X","")))</f>
      </c>
      <c r="I63" s="18" t="str">
        <f t="shared" si="1"/>
        <v>?</v>
      </c>
      <c r="J63" s="19">
        <f t="shared" si="2"/>
      </c>
      <c r="K63" s="20" t="str">
        <f t="shared" si="8"/>
        <v>trop vieux</v>
      </c>
      <c r="L63" s="172">
        <f t="shared" si="3"/>
        <v>1900</v>
      </c>
      <c r="M63" s="172">
        <f t="shared" si="4"/>
        <v>0</v>
      </c>
      <c r="N63" s="172" t="b">
        <f t="shared" si="5"/>
        <v>0</v>
      </c>
      <c r="O63" s="305" t="e">
        <f>(1/AVERAGE(N63:N65)+1/SMALL((N63:N65),1))/100</f>
        <v>#DIV/0!</v>
      </c>
      <c r="Q63" s="2"/>
    </row>
    <row r="64" spans="2:17" ht="12.75">
      <c r="B64" s="297"/>
      <c r="C64" s="307"/>
      <c r="D64" s="244"/>
      <c r="E64" s="43"/>
      <c r="F64" s="16"/>
      <c r="G64" s="16"/>
      <c r="H64" s="303"/>
      <c r="I64" s="21" t="str">
        <f t="shared" si="1"/>
        <v>?</v>
      </c>
      <c r="J64" s="22">
        <f t="shared" si="2"/>
      </c>
      <c r="K64" s="23" t="str">
        <f t="shared" si="8"/>
        <v>trop vieux</v>
      </c>
      <c r="L64" s="172">
        <f t="shared" si="3"/>
        <v>1900</v>
      </c>
      <c r="M64" s="172">
        <f t="shared" si="4"/>
        <v>0</v>
      </c>
      <c r="N64" s="172" t="b">
        <f t="shared" si="5"/>
        <v>0</v>
      </c>
      <c r="O64" s="305"/>
      <c r="Q64" s="2"/>
    </row>
    <row r="65" spans="2:17" ht="13.5" thickBot="1">
      <c r="B65" s="298"/>
      <c r="C65" s="308"/>
      <c r="D65" s="246"/>
      <c r="E65" s="44"/>
      <c r="F65" s="17"/>
      <c r="G65" s="17"/>
      <c r="H65" s="304"/>
      <c r="I65" s="24" t="str">
        <f t="shared" si="1"/>
        <v>?</v>
      </c>
      <c r="J65" s="175">
        <f t="shared" si="2"/>
      </c>
      <c r="K65" s="26" t="str">
        <f t="shared" si="8"/>
        <v>trop vieux</v>
      </c>
      <c r="L65" s="172">
        <f t="shared" si="3"/>
        <v>1900</v>
      </c>
      <c r="M65" s="172">
        <f t="shared" si="4"/>
        <v>0</v>
      </c>
      <c r="N65" s="172" t="b">
        <f t="shared" si="5"/>
        <v>0</v>
      </c>
      <c r="O65" s="305"/>
      <c r="Q65" s="2"/>
    </row>
    <row r="66" spans="2:17" ht="12.75">
      <c r="B66" s="296">
        <v>22</v>
      </c>
      <c r="C66" s="306"/>
      <c r="D66" s="243"/>
      <c r="E66" s="42"/>
      <c r="F66" s="15"/>
      <c r="G66" s="15"/>
      <c r="H66" s="302">
        <f>IF(COUNTA(G66),"X",IF(COUNTA(G67),"X",IF(COUNTA(G68),"X","")))</f>
      </c>
      <c r="I66" s="18" t="str">
        <f t="shared" si="1"/>
        <v>?</v>
      </c>
      <c r="J66" s="19">
        <f t="shared" si="2"/>
      </c>
      <c r="K66" s="20" t="str">
        <f t="shared" si="8"/>
        <v>trop vieux</v>
      </c>
      <c r="L66" s="172">
        <f t="shared" si="3"/>
        <v>1900</v>
      </c>
      <c r="M66" s="172">
        <f t="shared" si="4"/>
        <v>0</v>
      </c>
      <c r="N66" s="172" t="b">
        <f t="shared" si="5"/>
        <v>0</v>
      </c>
      <c r="O66" s="305" t="e">
        <f>(1/AVERAGE(N66:N68)+1/SMALL((N66:N68),1))/100</f>
        <v>#DIV/0!</v>
      </c>
      <c r="Q66" s="2"/>
    </row>
    <row r="67" spans="2:17" ht="12.75">
      <c r="B67" s="297"/>
      <c r="C67" s="307"/>
      <c r="D67" s="244"/>
      <c r="E67" s="43"/>
      <c r="F67" s="16"/>
      <c r="G67" s="16"/>
      <c r="H67" s="303"/>
      <c r="I67" s="21" t="str">
        <f t="shared" si="1"/>
        <v>?</v>
      </c>
      <c r="J67" s="22">
        <f t="shared" si="2"/>
      </c>
      <c r="K67" s="23" t="str">
        <f t="shared" si="8"/>
        <v>trop vieux</v>
      </c>
      <c r="L67" s="172">
        <f t="shared" si="3"/>
        <v>1900</v>
      </c>
      <c r="M67" s="172">
        <f t="shared" si="4"/>
        <v>0</v>
      </c>
      <c r="N67" s="172" t="b">
        <f t="shared" si="5"/>
        <v>0</v>
      </c>
      <c r="O67" s="305"/>
      <c r="Q67" s="2"/>
    </row>
    <row r="68" spans="2:17" ht="13.5" thickBot="1">
      <c r="B68" s="298"/>
      <c r="C68" s="308"/>
      <c r="D68" s="246"/>
      <c r="E68" s="44"/>
      <c r="F68" s="17"/>
      <c r="G68" s="17"/>
      <c r="H68" s="304"/>
      <c r="I68" s="24" t="str">
        <f aca="true" t="shared" si="9" ref="I68:I131">IF(E68="","?",TRUNC(N68/365))</f>
        <v>?</v>
      </c>
      <c r="J68" s="175">
        <f t="shared" si="2"/>
      </c>
      <c r="K68" s="26" t="str">
        <f t="shared" si="8"/>
        <v>trop vieux</v>
      </c>
      <c r="L68" s="172">
        <f t="shared" si="3"/>
        <v>1900</v>
      </c>
      <c r="M68" s="172">
        <f t="shared" si="4"/>
        <v>0</v>
      </c>
      <c r="N68" s="172" t="b">
        <f t="shared" si="5"/>
        <v>0</v>
      </c>
      <c r="O68" s="305"/>
      <c r="Q68" s="2"/>
    </row>
    <row r="69" spans="2:17" ht="12.75">
      <c r="B69" s="296">
        <v>23</v>
      </c>
      <c r="C69" s="306"/>
      <c r="D69" s="243"/>
      <c r="E69" s="42"/>
      <c r="F69" s="15"/>
      <c r="G69" s="15"/>
      <c r="H69" s="302">
        <f>IF(COUNTA(G69),"X",IF(COUNTA(G70),"X",IF(COUNTA(G71),"X","")))</f>
      </c>
      <c r="I69" s="18" t="str">
        <f t="shared" si="9"/>
        <v>?</v>
      </c>
      <c r="J69" s="19">
        <f t="shared" si="2"/>
      </c>
      <c r="K69" s="20" t="str">
        <f t="shared" si="8"/>
        <v>trop vieux</v>
      </c>
      <c r="L69" s="172">
        <f t="shared" si="3"/>
        <v>1900</v>
      </c>
      <c r="M69" s="172">
        <f t="shared" si="4"/>
        <v>0</v>
      </c>
      <c r="N69" s="172" t="b">
        <f t="shared" si="5"/>
        <v>0</v>
      </c>
      <c r="O69" s="305" t="e">
        <f>(1/AVERAGE(N69:N71)+1/SMALL((N69:N71),1))/100</f>
        <v>#DIV/0!</v>
      </c>
      <c r="Q69" s="2"/>
    </row>
    <row r="70" spans="2:17" ht="12.75">
      <c r="B70" s="297"/>
      <c r="C70" s="307"/>
      <c r="D70" s="244"/>
      <c r="E70" s="43"/>
      <c r="F70" s="16"/>
      <c r="G70" s="16"/>
      <c r="H70" s="303"/>
      <c r="I70" s="21" t="str">
        <f t="shared" si="9"/>
        <v>?</v>
      </c>
      <c r="J70" s="22">
        <f t="shared" si="2"/>
      </c>
      <c r="K70" s="23" t="str">
        <f t="shared" si="8"/>
        <v>trop vieux</v>
      </c>
      <c r="L70" s="172">
        <f t="shared" si="3"/>
        <v>1900</v>
      </c>
      <c r="M70" s="172">
        <f t="shared" si="4"/>
        <v>0</v>
      </c>
      <c r="N70" s="172" t="b">
        <f t="shared" si="5"/>
        <v>0</v>
      </c>
      <c r="O70" s="305"/>
      <c r="Q70" s="2"/>
    </row>
    <row r="71" spans="2:17" ht="13.5" thickBot="1">
      <c r="B71" s="298"/>
      <c r="C71" s="308"/>
      <c r="D71" s="246"/>
      <c r="E71" s="44"/>
      <c r="F71" s="17"/>
      <c r="G71" s="17"/>
      <c r="H71" s="304"/>
      <c r="I71" s="24" t="str">
        <f t="shared" si="9"/>
        <v>?</v>
      </c>
      <c r="J71" s="175">
        <f t="shared" si="2"/>
      </c>
      <c r="K71" s="26" t="str">
        <f t="shared" si="8"/>
        <v>trop vieux</v>
      </c>
      <c r="L71" s="172">
        <f t="shared" si="3"/>
        <v>1900</v>
      </c>
      <c r="M71" s="172">
        <f t="shared" si="4"/>
        <v>0</v>
      </c>
      <c r="N71" s="172" t="b">
        <f t="shared" si="5"/>
        <v>0</v>
      </c>
      <c r="O71" s="305"/>
      <c r="Q71" s="2"/>
    </row>
    <row r="72" spans="2:17" ht="12.75">
      <c r="B72" s="296">
        <v>24</v>
      </c>
      <c r="C72" s="306"/>
      <c r="D72" s="243"/>
      <c r="E72" s="42"/>
      <c r="F72" s="15"/>
      <c r="G72" s="15"/>
      <c r="H72" s="302">
        <f>IF(COUNTA(G72),"X",IF(COUNTA(G73),"X",IF(COUNTA(G74),"X","")))</f>
      </c>
      <c r="I72" s="18" t="str">
        <f t="shared" si="9"/>
        <v>?</v>
      </c>
      <c r="J72" s="19">
        <f t="shared" si="2"/>
      </c>
      <c r="K72" s="20" t="str">
        <f t="shared" si="8"/>
        <v>trop vieux</v>
      </c>
      <c r="L72" s="172">
        <f t="shared" si="3"/>
        <v>1900</v>
      </c>
      <c r="M72" s="172">
        <f t="shared" si="4"/>
        <v>0</v>
      </c>
      <c r="N72" s="172" t="b">
        <f t="shared" si="5"/>
        <v>0</v>
      </c>
      <c r="O72" s="305" t="e">
        <f>(1/AVERAGE(N72:N74)+1/SMALL((N72:N74),1))/100</f>
        <v>#DIV/0!</v>
      </c>
      <c r="Q72" s="2"/>
    </row>
    <row r="73" spans="2:17" ht="12.75">
      <c r="B73" s="297"/>
      <c r="C73" s="307"/>
      <c r="D73" s="244"/>
      <c r="E73" s="43"/>
      <c r="F73" s="16"/>
      <c r="G73" s="16"/>
      <c r="H73" s="303"/>
      <c r="I73" s="21" t="str">
        <f t="shared" si="9"/>
        <v>?</v>
      </c>
      <c r="J73" s="22">
        <f t="shared" si="2"/>
      </c>
      <c r="K73" s="23" t="str">
        <f t="shared" si="8"/>
        <v>trop vieux</v>
      </c>
      <c r="L73" s="172">
        <f t="shared" si="3"/>
        <v>1900</v>
      </c>
      <c r="M73" s="172">
        <f t="shared" si="4"/>
        <v>0</v>
      </c>
      <c r="N73" s="172" t="b">
        <f t="shared" si="5"/>
        <v>0</v>
      </c>
      <c r="O73" s="305"/>
      <c r="Q73" s="2"/>
    </row>
    <row r="74" spans="2:17" ht="13.5" thickBot="1">
      <c r="B74" s="298"/>
      <c r="C74" s="308"/>
      <c r="D74" s="246"/>
      <c r="E74" s="44"/>
      <c r="F74" s="17"/>
      <c r="G74" s="17"/>
      <c r="H74" s="304"/>
      <c r="I74" s="24" t="str">
        <f t="shared" si="9"/>
        <v>?</v>
      </c>
      <c r="J74" s="175">
        <f t="shared" si="2"/>
      </c>
      <c r="K74" s="26" t="str">
        <f t="shared" si="8"/>
        <v>trop vieux</v>
      </c>
      <c r="L74" s="172">
        <f t="shared" si="3"/>
        <v>1900</v>
      </c>
      <c r="M74" s="172">
        <f t="shared" si="4"/>
        <v>0</v>
      </c>
      <c r="N74" s="172" t="b">
        <f t="shared" si="5"/>
        <v>0</v>
      </c>
      <c r="O74" s="305"/>
      <c r="Q74" s="2"/>
    </row>
    <row r="75" spans="2:17" ht="12.75">
      <c r="B75" s="296">
        <v>25</v>
      </c>
      <c r="C75" s="306"/>
      <c r="D75" s="243"/>
      <c r="E75" s="42"/>
      <c r="F75" s="15"/>
      <c r="G75" s="15"/>
      <c r="H75" s="302">
        <f>IF(COUNTA(G75),"X",IF(COUNTA(G76),"X",IF(COUNTA(G77),"X","")))</f>
      </c>
      <c r="I75" s="18" t="str">
        <f t="shared" si="9"/>
        <v>?</v>
      </c>
      <c r="J75" s="19">
        <f t="shared" si="2"/>
      </c>
      <c r="K75" s="20" t="str">
        <f t="shared" si="8"/>
        <v>trop vieux</v>
      </c>
      <c r="L75" s="172">
        <f t="shared" si="3"/>
        <v>1900</v>
      </c>
      <c r="M75" s="172">
        <f t="shared" si="4"/>
        <v>0</v>
      </c>
      <c r="N75" s="172" t="b">
        <f t="shared" si="5"/>
        <v>0</v>
      </c>
      <c r="O75" s="305" t="e">
        <f>(1/AVERAGE(N75:N77)+1/SMALL((N75:N77),1))/100</f>
        <v>#DIV/0!</v>
      </c>
      <c r="Q75" s="2"/>
    </row>
    <row r="76" spans="2:17" ht="12.75">
      <c r="B76" s="297"/>
      <c r="C76" s="307"/>
      <c r="D76" s="244"/>
      <c r="E76" s="43"/>
      <c r="F76" s="16"/>
      <c r="G76" s="16"/>
      <c r="H76" s="303"/>
      <c r="I76" s="21" t="str">
        <f t="shared" si="9"/>
        <v>?</v>
      </c>
      <c r="J76" s="22">
        <f t="shared" si="2"/>
      </c>
      <c r="K76" s="23" t="str">
        <f t="shared" si="8"/>
        <v>trop vieux</v>
      </c>
      <c r="L76" s="172">
        <f t="shared" si="3"/>
        <v>1900</v>
      </c>
      <c r="M76" s="172">
        <f t="shared" si="4"/>
        <v>0</v>
      </c>
      <c r="N76" s="172" t="b">
        <f t="shared" si="5"/>
        <v>0</v>
      </c>
      <c r="O76" s="305"/>
      <c r="Q76" s="2"/>
    </row>
    <row r="77" spans="2:17" ht="13.5" thickBot="1">
      <c r="B77" s="298"/>
      <c r="C77" s="308"/>
      <c r="D77" s="246"/>
      <c r="E77" s="44"/>
      <c r="F77" s="17"/>
      <c r="G77" s="17"/>
      <c r="H77" s="304"/>
      <c r="I77" s="24" t="str">
        <f t="shared" si="9"/>
        <v>?</v>
      </c>
      <c r="J77" s="175">
        <f t="shared" si="2"/>
      </c>
      <c r="K77" s="26" t="str">
        <f t="shared" si="8"/>
        <v>trop vieux</v>
      </c>
      <c r="L77" s="172">
        <f t="shared" si="3"/>
        <v>1900</v>
      </c>
      <c r="M77" s="172">
        <f t="shared" si="4"/>
        <v>0</v>
      </c>
      <c r="N77" s="172" t="b">
        <f t="shared" si="5"/>
        <v>0</v>
      </c>
      <c r="O77" s="305"/>
      <c r="Q77" s="2"/>
    </row>
    <row r="78" spans="2:17" ht="12.75">
      <c r="B78" s="296">
        <v>26</v>
      </c>
      <c r="C78" s="306"/>
      <c r="D78" s="243"/>
      <c r="E78" s="42"/>
      <c r="F78" s="15"/>
      <c r="G78" s="15"/>
      <c r="H78" s="302">
        <f>IF(COUNTA(G78),"X",IF(COUNTA(G79),"X",IF(COUNTA(G80),"X","")))</f>
      </c>
      <c r="I78" s="18" t="str">
        <f t="shared" si="9"/>
        <v>?</v>
      </c>
      <c r="J78" s="19">
        <f t="shared" si="2"/>
      </c>
      <c r="K78" s="20" t="str">
        <f t="shared" si="8"/>
        <v>trop vieux</v>
      </c>
      <c r="L78" s="172">
        <f t="shared" si="3"/>
        <v>1900</v>
      </c>
      <c r="M78" s="172">
        <f t="shared" si="4"/>
        <v>0</v>
      </c>
      <c r="N78" s="172" t="b">
        <f t="shared" si="5"/>
        <v>0</v>
      </c>
      <c r="O78" s="305" t="e">
        <f>(1/AVERAGE(N78:N80)+1/SMALL((N78:N80),1))/100</f>
        <v>#DIV/0!</v>
      </c>
      <c r="Q78" s="2"/>
    </row>
    <row r="79" spans="2:17" ht="12.75">
      <c r="B79" s="297"/>
      <c r="C79" s="307"/>
      <c r="D79" s="244"/>
      <c r="E79" s="43"/>
      <c r="F79" s="16"/>
      <c r="G79" s="16"/>
      <c r="H79" s="303"/>
      <c r="I79" s="21" t="str">
        <f t="shared" si="9"/>
        <v>?</v>
      </c>
      <c r="J79" s="22">
        <f t="shared" si="2"/>
      </c>
      <c r="K79" s="23" t="str">
        <f t="shared" si="8"/>
        <v>trop vieux</v>
      </c>
      <c r="L79" s="172">
        <f t="shared" si="3"/>
        <v>1900</v>
      </c>
      <c r="M79" s="172">
        <f t="shared" si="4"/>
        <v>0</v>
      </c>
      <c r="N79" s="172" t="b">
        <f t="shared" si="5"/>
        <v>0</v>
      </c>
      <c r="O79" s="305"/>
      <c r="Q79" s="2"/>
    </row>
    <row r="80" spans="2:17" ht="13.5" thickBot="1">
      <c r="B80" s="298"/>
      <c r="C80" s="308"/>
      <c r="D80" s="246"/>
      <c r="E80" s="44"/>
      <c r="F80" s="17"/>
      <c r="G80" s="17"/>
      <c r="H80" s="304"/>
      <c r="I80" s="24" t="str">
        <f t="shared" si="9"/>
        <v>?</v>
      </c>
      <c r="J80" s="175">
        <f t="shared" si="2"/>
      </c>
      <c r="K80" s="26" t="str">
        <f t="shared" si="8"/>
        <v>trop vieux</v>
      </c>
      <c r="L80" s="172">
        <f t="shared" si="3"/>
        <v>1900</v>
      </c>
      <c r="M80" s="172">
        <f t="shared" si="4"/>
        <v>0</v>
      </c>
      <c r="N80" s="172" t="b">
        <f t="shared" si="5"/>
        <v>0</v>
      </c>
      <c r="O80" s="305"/>
      <c r="Q80" s="2"/>
    </row>
    <row r="81" spans="2:17" ht="12.75">
      <c r="B81" s="296">
        <v>27</v>
      </c>
      <c r="C81" s="306"/>
      <c r="D81" s="243"/>
      <c r="E81" s="42"/>
      <c r="F81" s="15"/>
      <c r="G81" s="15"/>
      <c r="H81" s="302">
        <f>IF(COUNTA(G81),"X",IF(COUNTA(G82),"X",IF(COUNTA(G83),"X","")))</f>
      </c>
      <c r="I81" s="18" t="str">
        <f t="shared" si="9"/>
        <v>?</v>
      </c>
      <c r="J81" s="19">
        <f t="shared" si="2"/>
      </c>
      <c r="K81" s="20" t="str">
        <f t="shared" si="8"/>
        <v>trop vieux</v>
      </c>
      <c r="L81" s="172">
        <f t="shared" si="3"/>
        <v>1900</v>
      </c>
      <c r="M81" s="172">
        <f t="shared" si="4"/>
        <v>0</v>
      </c>
      <c r="N81" s="172" t="b">
        <f t="shared" si="5"/>
        <v>0</v>
      </c>
      <c r="O81" s="305" t="e">
        <f>(1/AVERAGE(N81:N83)+1/SMALL((N81:N83),1))/100</f>
        <v>#DIV/0!</v>
      </c>
      <c r="Q81" s="2"/>
    </row>
    <row r="82" spans="2:17" ht="12.75">
      <c r="B82" s="297"/>
      <c r="C82" s="307"/>
      <c r="D82" s="244"/>
      <c r="E82" s="43"/>
      <c r="F82" s="16"/>
      <c r="G82" s="16"/>
      <c r="H82" s="303"/>
      <c r="I82" s="21" t="str">
        <f t="shared" si="9"/>
        <v>?</v>
      </c>
      <c r="J82" s="22">
        <f t="shared" si="2"/>
      </c>
      <c r="K82" s="23" t="str">
        <f t="shared" si="8"/>
        <v>trop vieux</v>
      </c>
      <c r="L82" s="172">
        <f t="shared" si="3"/>
        <v>1900</v>
      </c>
      <c r="M82" s="172">
        <f t="shared" si="4"/>
        <v>0</v>
      </c>
      <c r="N82" s="172" t="b">
        <f t="shared" si="5"/>
        <v>0</v>
      </c>
      <c r="O82" s="305"/>
      <c r="Q82" s="2"/>
    </row>
    <row r="83" spans="2:17" ht="13.5" thickBot="1">
      <c r="B83" s="298"/>
      <c r="C83" s="308"/>
      <c r="D83" s="246"/>
      <c r="E83" s="44"/>
      <c r="F83" s="17"/>
      <c r="G83" s="17"/>
      <c r="H83" s="304"/>
      <c r="I83" s="24" t="str">
        <f t="shared" si="9"/>
        <v>?</v>
      </c>
      <c r="J83" s="175">
        <f t="shared" si="2"/>
      </c>
      <c r="K83" s="26" t="str">
        <f t="shared" si="8"/>
        <v>trop vieux</v>
      </c>
      <c r="L83" s="172">
        <f t="shared" si="3"/>
        <v>1900</v>
      </c>
      <c r="M83" s="172">
        <f t="shared" si="4"/>
        <v>0</v>
      </c>
      <c r="N83" s="172" t="b">
        <f t="shared" si="5"/>
        <v>0</v>
      </c>
      <c r="O83" s="305"/>
      <c r="Q83" s="2"/>
    </row>
    <row r="84" spans="2:17" ht="12.75">
      <c r="B84" s="296">
        <v>28</v>
      </c>
      <c r="C84" s="306"/>
      <c r="D84" s="243"/>
      <c r="E84" s="42"/>
      <c r="F84" s="15"/>
      <c r="G84" s="15"/>
      <c r="H84" s="302">
        <f>IF(COUNTA(G84),"X",IF(COUNTA(G85),"X",IF(COUNTA(G86),"X","")))</f>
      </c>
      <c r="I84" s="18" t="str">
        <f t="shared" si="9"/>
        <v>?</v>
      </c>
      <c r="J84" s="19">
        <f t="shared" si="2"/>
      </c>
      <c r="K84" s="20" t="str">
        <f t="shared" si="8"/>
        <v>trop vieux</v>
      </c>
      <c r="L84" s="172">
        <f t="shared" si="3"/>
        <v>1900</v>
      </c>
      <c r="M84" s="172">
        <f t="shared" si="4"/>
        <v>0</v>
      </c>
      <c r="N84" s="172" t="b">
        <f t="shared" si="5"/>
        <v>0</v>
      </c>
      <c r="O84" s="305" t="e">
        <f>(1/AVERAGE(N84:N86)+1/SMALL((N84:N86),1))/100</f>
        <v>#DIV/0!</v>
      </c>
      <c r="Q84" s="2"/>
    </row>
    <row r="85" spans="2:17" ht="12.75">
      <c r="B85" s="297"/>
      <c r="C85" s="307"/>
      <c r="D85" s="244"/>
      <c r="E85" s="43"/>
      <c r="F85" s="16"/>
      <c r="G85" s="16"/>
      <c r="H85" s="303"/>
      <c r="I85" s="21" t="str">
        <f t="shared" si="9"/>
        <v>?</v>
      </c>
      <c r="J85" s="22">
        <f t="shared" si="2"/>
      </c>
      <c r="K85" s="23" t="str">
        <f t="shared" si="8"/>
        <v>trop vieux</v>
      </c>
      <c r="L85" s="172">
        <f t="shared" si="3"/>
        <v>1900</v>
      </c>
      <c r="M85" s="172">
        <f t="shared" si="4"/>
        <v>0</v>
      </c>
      <c r="N85" s="172" t="b">
        <f t="shared" si="5"/>
        <v>0</v>
      </c>
      <c r="O85" s="305"/>
      <c r="Q85" s="2"/>
    </row>
    <row r="86" spans="2:17" ht="13.5" thickBot="1">
      <c r="B86" s="298"/>
      <c r="C86" s="308"/>
      <c r="D86" s="246"/>
      <c r="E86" s="44"/>
      <c r="F86" s="17"/>
      <c r="G86" s="17"/>
      <c r="H86" s="304"/>
      <c r="I86" s="24" t="str">
        <f t="shared" si="9"/>
        <v>?</v>
      </c>
      <c r="J86" s="175">
        <f t="shared" si="2"/>
      </c>
      <c r="K86" s="26" t="str">
        <f t="shared" si="8"/>
        <v>trop vieux</v>
      </c>
      <c r="L86" s="172">
        <f t="shared" si="3"/>
        <v>1900</v>
      </c>
      <c r="M86" s="172">
        <f t="shared" si="4"/>
        <v>0</v>
      </c>
      <c r="N86" s="172" t="b">
        <f t="shared" si="5"/>
        <v>0</v>
      </c>
      <c r="O86" s="305"/>
      <c r="Q86" s="2"/>
    </row>
    <row r="87" spans="2:17" ht="12.75">
      <c r="B87" s="296">
        <v>29</v>
      </c>
      <c r="C87" s="306"/>
      <c r="D87" s="243"/>
      <c r="E87" s="42"/>
      <c r="F87" s="15"/>
      <c r="G87" s="15"/>
      <c r="H87" s="302">
        <f>IF(COUNTA(G87),"X",IF(COUNTA(G88),"X",IF(COUNTA(G89),"X","")))</f>
      </c>
      <c r="I87" s="18" t="str">
        <f t="shared" si="9"/>
        <v>?</v>
      </c>
      <c r="J87" s="19">
        <f t="shared" si="2"/>
      </c>
      <c r="K87" s="20" t="str">
        <f t="shared" si="8"/>
        <v>trop vieux</v>
      </c>
      <c r="L87" s="172">
        <f t="shared" si="3"/>
        <v>1900</v>
      </c>
      <c r="M87" s="172">
        <f t="shared" si="4"/>
        <v>0</v>
      </c>
      <c r="N87" s="172" t="b">
        <f t="shared" si="5"/>
        <v>0</v>
      </c>
      <c r="O87" s="305" t="e">
        <f>(1/AVERAGE(N87:N89)+1/SMALL((N87:N89),1))/100</f>
        <v>#DIV/0!</v>
      </c>
      <c r="Q87" s="2"/>
    </row>
    <row r="88" spans="2:17" ht="12.75">
      <c r="B88" s="297"/>
      <c r="C88" s="307"/>
      <c r="D88" s="244"/>
      <c r="E88" s="43"/>
      <c r="F88" s="16"/>
      <c r="G88" s="16"/>
      <c r="H88" s="303"/>
      <c r="I88" s="21" t="str">
        <f t="shared" si="9"/>
        <v>?</v>
      </c>
      <c r="J88" s="22">
        <f t="shared" si="2"/>
      </c>
      <c r="K88" s="23" t="str">
        <f t="shared" si="8"/>
        <v>trop vieux</v>
      </c>
      <c r="L88" s="172">
        <f t="shared" si="3"/>
        <v>1900</v>
      </c>
      <c r="M88" s="172">
        <f t="shared" si="4"/>
        <v>0</v>
      </c>
      <c r="N88" s="172" t="b">
        <f t="shared" si="5"/>
        <v>0</v>
      </c>
      <c r="O88" s="305"/>
      <c r="Q88" s="2"/>
    </row>
    <row r="89" spans="2:17" ht="13.5" thickBot="1">
      <c r="B89" s="298"/>
      <c r="C89" s="308"/>
      <c r="D89" s="246"/>
      <c r="E89" s="44"/>
      <c r="F89" s="17"/>
      <c r="G89" s="17"/>
      <c r="H89" s="304"/>
      <c r="I89" s="24" t="str">
        <f t="shared" si="9"/>
        <v>?</v>
      </c>
      <c r="J89" s="175">
        <f t="shared" si="2"/>
      </c>
      <c r="K89" s="26" t="str">
        <f aca="true" t="shared" si="10" ref="K89:K137">IF(I89&lt;9,"trop jeune",IF(I89&gt;15,"trop vieux",""))</f>
        <v>trop vieux</v>
      </c>
      <c r="L89" s="172">
        <f t="shared" si="3"/>
        <v>1900</v>
      </c>
      <c r="M89" s="172">
        <f t="shared" si="4"/>
        <v>0</v>
      </c>
      <c r="N89" s="172" t="b">
        <f t="shared" si="5"/>
        <v>0</v>
      </c>
      <c r="O89" s="305"/>
      <c r="Q89" s="2"/>
    </row>
    <row r="90" spans="2:17" ht="12.75">
      <c r="B90" s="296">
        <v>30</v>
      </c>
      <c r="C90" s="306"/>
      <c r="D90" s="243"/>
      <c r="E90" s="42"/>
      <c r="F90" s="15"/>
      <c r="G90" s="15"/>
      <c r="H90" s="302">
        <f>IF(COUNTA(G90),"X",IF(COUNTA(G91),"X",IF(COUNTA(G92),"X","")))</f>
      </c>
      <c r="I90" s="18" t="str">
        <f t="shared" si="9"/>
        <v>?</v>
      </c>
      <c r="J90" s="19">
        <f t="shared" si="2"/>
      </c>
      <c r="K90" s="20" t="str">
        <f t="shared" si="10"/>
        <v>trop vieux</v>
      </c>
      <c r="L90" s="172">
        <f t="shared" si="3"/>
        <v>1900</v>
      </c>
      <c r="M90" s="172">
        <f t="shared" si="4"/>
        <v>0</v>
      </c>
      <c r="N90" s="172" t="b">
        <f t="shared" si="5"/>
        <v>0</v>
      </c>
      <c r="O90" s="305" t="e">
        <f>(1/AVERAGE(N90:N92)+1/SMALL((N90:N92),1))/100</f>
        <v>#DIV/0!</v>
      </c>
      <c r="Q90" s="2"/>
    </row>
    <row r="91" spans="2:17" ht="12.75">
      <c r="B91" s="297"/>
      <c r="C91" s="307"/>
      <c r="D91" s="244"/>
      <c r="E91" s="43"/>
      <c r="F91" s="16"/>
      <c r="G91" s="16"/>
      <c r="H91" s="303"/>
      <c r="I91" s="21" t="str">
        <f t="shared" si="9"/>
        <v>?</v>
      </c>
      <c r="J91" s="22">
        <f t="shared" si="2"/>
      </c>
      <c r="K91" s="23" t="str">
        <f t="shared" si="10"/>
        <v>trop vieux</v>
      </c>
      <c r="L91" s="172">
        <f t="shared" si="3"/>
        <v>1900</v>
      </c>
      <c r="M91" s="172">
        <f t="shared" si="4"/>
        <v>0</v>
      </c>
      <c r="N91" s="172" t="b">
        <f t="shared" si="5"/>
        <v>0</v>
      </c>
      <c r="O91" s="305"/>
      <c r="Q91" s="2"/>
    </row>
    <row r="92" spans="2:17" ht="13.5" thickBot="1">
      <c r="B92" s="298"/>
      <c r="C92" s="308"/>
      <c r="D92" s="246"/>
      <c r="E92" s="44"/>
      <c r="F92" s="17"/>
      <c r="G92" s="17"/>
      <c r="H92" s="304"/>
      <c r="I92" s="24" t="str">
        <f t="shared" si="9"/>
        <v>?</v>
      </c>
      <c r="J92" s="175">
        <f t="shared" si="2"/>
      </c>
      <c r="K92" s="26" t="str">
        <f t="shared" si="10"/>
        <v>trop vieux</v>
      </c>
      <c r="L92" s="172">
        <f t="shared" si="3"/>
        <v>1900</v>
      </c>
      <c r="M92" s="172">
        <f t="shared" si="4"/>
        <v>0</v>
      </c>
      <c r="N92" s="172" t="b">
        <f t="shared" si="5"/>
        <v>0</v>
      </c>
      <c r="O92" s="305"/>
      <c r="Q92" s="2"/>
    </row>
    <row r="93" spans="2:17" ht="12.75">
      <c r="B93" s="296">
        <v>31</v>
      </c>
      <c r="C93" s="306"/>
      <c r="D93" s="243"/>
      <c r="E93" s="42"/>
      <c r="F93" s="15"/>
      <c r="G93" s="15"/>
      <c r="H93" s="302">
        <f>IF(COUNTA(G93),"X",IF(COUNTA(G94),"X",IF(COUNTA(G95),"X","")))</f>
      </c>
      <c r="I93" s="18" t="str">
        <f t="shared" si="9"/>
        <v>?</v>
      </c>
      <c r="J93" s="19">
        <f t="shared" si="2"/>
      </c>
      <c r="K93" s="20" t="str">
        <f t="shared" si="10"/>
        <v>trop vieux</v>
      </c>
      <c r="L93" s="172">
        <f t="shared" si="3"/>
        <v>1900</v>
      </c>
      <c r="M93" s="172">
        <f t="shared" si="4"/>
        <v>0</v>
      </c>
      <c r="N93" s="172" t="b">
        <f t="shared" si="5"/>
        <v>0</v>
      </c>
      <c r="O93" s="305" t="e">
        <f>(1/AVERAGE(N93:N95)+1/SMALL((N93:N95),1))/100</f>
        <v>#DIV/0!</v>
      </c>
      <c r="Q93" s="2"/>
    </row>
    <row r="94" spans="2:17" ht="12.75">
      <c r="B94" s="297"/>
      <c r="C94" s="307"/>
      <c r="D94" s="244"/>
      <c r="E94" s="43"/>
      <c r="F94" s="16"/>
      <c r="G94" s="16"/>
      <c r="H94" s="303"/>
      <c r="I94" s="21" t="str">
        <f t="shared" si="9"/>
        <v>?</v>
      </c>
      <c r="J94" s="22">
        <f t="shared" si="2"/>
      </c>
      <c r="K94" s="23" t="str">
        <f t="shared" si="10"/>
        <v>trop vieux</v>
      </c>
      <c r="L94" s="172">
        <f t="shared" si="3"/>
        <v>1900</v>
      </c>
      <c r="M94" s="172">
        <f t="shared" si="4"/>
        <v>0</v>
      </c>
      <c r="N94" s="172" t="b">
        <f t="shared" si="5"/>
        <v>0</v>
      </c>
      <c r="O94" s="305"/>
      <c r="Q94" s="2"/>
    </row>
    <row r="95" spans="2:17" ht="13.5" thickBot="1">
      <c r="B95" s="298"/>
      <c r="C95" s="308"/>
      <c r="D95" s="246"/>
      <c r="E95" s="44"/>
      <c r="F95" s="17"/>
      <c r="G95" s="17"/>
      <c r="H95" s="304"/>
      <c r="I95" s="24" t="str">
        <f t="shared" si="9"/>
        <v>?</v>
      </c>
      <c r="J95" s="175">
        <f t="shared" si="2"/>
      </c>
      <c r="K95" s="26" t="str">
        <f t="shared" si="10"/>
        <v>trop vieux</v>
      </c>
      <c r="L95" s="172">
        <f t="shared" si="3"/>
        <v>1900</v>
      </c>
      <c r="M95" s="172">
        <f t="shared" si="4"/>
        <v>0</v>
      </c>
      <c r="N95" s="172" t="b">
        <f t="shared" si="5"/>
        <v>0</v>
      </c>
      <c r="O95" s="305"/>
      <c r="Q95" s="2"/>
    </row>
    <row r="96" spans="2:17" ht="12.75">
      <c r="B96" s="296">
        <v>32</v>
      </c>
      <c r="C96" s="306"/>
      <c r="D96" s="243"/>
      <c r="E96" s="42"/>
      <c r="F96" s="15"/>
      <c r="G96" s="15"/>
      <c r="H96" s="302">
        <f>IF(COUNTA(G96),"X",IF(COUNTA(G97),"X",IF(COUNTA(G98),"X","")))</f>
      </c>
      <c r="I96" s="18" t="str">
        <f t="shared" si="9"/>
        <v>?</v>
      </c>
      <c r="J96" s="19">
        <f t="shared" si="2"/>
      </c>
      <c r="K96" s="20" t="str">
        <f t="shared" si="10"/>
        <v>trop vieux</v>
      </c>
      <c r="L96" s="172">
        <f t="shared" si="3"/>
        <v>1900</v>
      </c>
      <c r="M96" s="172">
        <f t="shared" si="4"/>
        <v>0</v>
      </c>
      <c r="N96" s="172" t="b">
        <f t="shared" si="5"/>
        <v>0</v>
      </c>
      <c r="O96" s="305" t="e">
        <f>(1/AVERAGE(N96:N98)+1/SMALL((N96:N98),1))/100</f>
        <v>#DIV/0!</v>
      </c>
      <c r="Q96" s="2"/>
    </row>
    <row r="97" spans="2:17" ht="12.75">
      <c r="B97" s="297"/>
      <c r="C97" s="307"/>
      <c r="D97" s="244"/>
      <c r="E97" s="43"/>
      <c r="F97" s="16"/>
      <c r="G97" s="16"/>
      <c r="H97" s="303"/>
      <c r="I97" s="21" t="str">
        <f t="shared" si="9"/>
        <v>?</v>
      </c>
      <c r="J97" s="22">
        <f t="shared" si="2"/>
      </c>
      <c r="K97" s="23" t="str">
        <f t="shared" si="10"/>
        <v>trop vieux</v>
      </c>
      <c r="L97" s="172">
        <f t="shared" si="3"/>
        <v>1900</v>
      </c>
      <c r="M97" s="172">
        <f t="shared" si="4"/>
        <v>0</v>
      </c>
      <c r="N97" s="172" t="b">
        <f t="shared" si="5"/>
        <v>0</v>
      </c>
      <c r="O97" s="305"/>
      <c r="Q97" s="2"/>
    </row>
    <row r="98" spans="2:17" ht="13.5" thickBot="1">
      <c r="B98" s="298"/>
      <c r="C98" s="308"/>
      <c r="D98" s="246"/>
      <c r="E98" s="44"/>
      <c r="F98" s="17"/>
      <c r="G98" s="17"/>
      <c r="H98" s="304"/>
      <c r="I98" s="24" t="str">
        <f t="shared" si="9"/>
        <v>?</v>
      </c>
      <c r="J98" s="175">
        <f t="shared" si="2"/>
      </c>
      <c r="K98" s="26" t="str">
        <f t="shared" si="10"/>
        <v>trop vieux</v>
      </c>
      <c r="L98" s="172">
        <f t="shared" si="3"/>
        <v>1900</v>
      </c>
      <c r="M98" s="172">
        <f t="shared" si="4"/>
        <v>0</v>
      </c>
      <c r="N98" s="172" t="b">
        <f t="shared" si="5"/>
        <v>0</v>
      </c>
      <c r="O98" s="305"/>
      <c r="Q98" s="2"/>
    </row>
    <row r="99" spans="2:17" ht="12.75">
      <c r="B99" s="296">
        <v>33</v>
      </c>
      <c r="C99" s="306"/>
      <c r="D99" s="243"/>
      <c r="E99" s="42"/>
      <c r="F99" s="15"/>
      <c r="G99" s="15"/>
      <c r="H99" s="302">
        <f>IF(COUNTA(G99),"X",IF(COUNTA(G100),"X",IF(COUNTA(G101),"X","")))</f>
      </c>
      <c r="I99" s="18" t="str">
        <f t="shared" si="9"/>
        <v>?</v>
      </c>
      <c r="J99" s="19">
        <f t="shared" si="2"/>
      </c>
      <c r="K99" s="20" t="str">
        <f t="shared" si="10"/>
        <v>trop vieux</v>
      </c>
      <c r="L99" s="172">
        <f t="shared" si="3"/>
        <v>1900</v>
      </c>
      <c r="M99" s="172">
        <f t="shared" si="4"/>
        <v>0</v>
      </c>
      <c r="N99" s="172" t="b">
        <f t="shared" si="5"/>
        <v>0</v>
      </c>
      <c r="O99" s="305" t="e">
        <f>(1/AVERAGE(N99:N101)+1/SMALL((N99:N101),1))/100</f>
        <v>#DIV/0!</v>
      </c>
      <c r="Q99" s="2"/>
    </row>
    <row r="100" spans="2:17" ht="12.75">
      <c r="B100" s="297"/>
      <c r="C100" s="307"/>
      <c r="D100" s="244"/>
      <c r="E100" s="43"/>
      <c r="F100" s="16"/>
      <c r="G100" s="16"/>
      <c r="H100" s="303"/>
      <c r="I100" s="21" t="str">
        <f t="shared" si="9"/>
        <v>?</v>
      </c>
      <c r="J100" s="22">
        <f t="shared" si="2"/>
      </c>
      <c r="K100" s="23" t="str">
        <f t="shared" si="10"/>
        <v>trop vieux</v>
      </c>
      <c r="L100" s="172">
        <f t="shared" si="3"/>
        <v>1900</v>
      </c>
      <c r="M100" s="172">
        <f t="shared" si="4"/>
        <v>0</v>
      </c>
      <c r="N100" s="172" t="b">
        <f t="shared" si="5"/>
        <v>0</v>
      </c>
      <c r="O100" s="305"/>
      <c r="Q100" s="2"/>
    </row>
    <row r="101" spans="2:17" ht="13.5" thickBot="1">
      <c r="B101" s="298"/>
      <c r="C101" s="308"/>
      <c r="D101" s="246"/>
      <c r="E101" s="44"/>
      <c r="F101" s="17"/>
      <c r="G101" s="17"/>
      <c r="H101" s="304"/>
      <c r="I101" s="24" t="str">
        <f t="shared" si="9"/>
        <v>?</v>
      </c>
      <c r="J101" s="175">
        <f t="shared" si="2"/>
      </c>
      <c r="K101" s="26" t="str">
        <f t="shared" si="10"/>
        <v>trop vieux</v>
      </c>
      <c r="L101" s="172">
        <f t="shared" si="3"/>
        <v>1900</v>
      </c>
      <c r="M101" s="172">
        <f t="shared" si="4"/>
        <v>0</v>
      </c>
      <c r="N101" s="172" t="b">
        <f t="shared" si="5"/>
        <v>0</v>
      </c>
      <c r="O101" s="305"/>
      <c r="Q101" s="2"/>
    </row>
    <row r="102" spans="2:17" ht="12.75">
      <c r="B102" s="296">
        <v>34</v>
      </c>
      <c r="C102" s="306"/>
      <c r="D102" s="243"/>
      <c r="E102" s="42"/>
      <c r="F102" s="15"/>
      <c r="G102" s="15"/>
      <c r="H102" s="302">
        <f>IF(COUNTA(G102),"X",IF(COUNTA(G103),"X",IF(COUNTA(G104),"X","")))</f>
      </c>
      <c r="I102" s="18" t="str">
        <f t="shared" si="9"/>
        <v>?</v>
      </c>
      <c r="J102" s="19">
        <f t="shared" si="2"/>
      </c>
      <c r="K102" s="20" t="str">
        <f t="shared" si="10"/>
        <v>trop vieux</v>
      </c>
      <c r="L102" s="172">
        <f t="shared" si="3"/>
        <v>1900</v>
      </c>
      <c r="M102" s="172">
        <f t="shared" si="4"/>
        <v>0</v>
      </c>
      <c r="N102" s="172" t="b">
        <f t="shared" si="5"/>
        <v>0</v>
      </c>
      <c r="O102" s="305" t="e">
        <f>(1/AVERAGE(N102:N104)+1/SMALL((N102:N104),1))/100</f>
        <v>#DIV/0!</v>
      </c>
      <c r="Q102" s="2"/>
    </row>
    <row r="103" spans="2:17" ht="12.75">
      <c r="B103" s="297"/>
      <c r="C103" s="307"/>
      <c r="D103" s="244"/>
      <c r="E103" s="43"/>
      <c r="F103" s="16"/>
      <c r="G103" s="16"/>
      <c r="H103" s="303"/>
      <c r="I103" s="21" t="str">
        <f t="shared" si="9"/>
        <v>?</v>
      </c>
      <c r="J103" s="22">
        <f t="shared" si="2"/>
      </c>
      <c r="K103" s="23" t="str">
        <f t="shared" si="10"/>
        <v>trop vieux</v>
      </c>
      <c r="L103" s="172">
        <f t="shared" si="3"/>
        <v>1900</v>
      </c>
      <c r="M103" s="172">
        <f t="shared" si="4"/>
        <v>0</v>
      </c>
      <c r="N103" s="172" t="b">
        <f t="shared" si="5"/>
        <v>0</v>
      </c>
      <c r="O103" s="305"/>
      <c r="Q103" s="2"/>
    </row>
    <row r="104" spans="2:17" ht="13.5" thickBot="1">
      <c r="B104" s="298"/>
      <c r="C104" s="308"/>
      <c r="D104" s="246"/>
      <c r="E104" s="44"/>
      <c r="F104" s="17"/>
      <c r="G104" s="17"/>
      <c r="H104" s="304"/>
      <c r="I104" s="24" t="str">
        <f t="shared" si="9"/>
        <v>?</v>
      </c>
      <c r="J104" s="175">
        <f t="shared" si="2"/>
      </c>
      <c r="K104" s="26" t="str">
        <f t="shared" si="10"/>
        <v>trop vieux</v>
      </c>
      <c r="L104" s="172">
        <f t="shared" si="3"/>
        <v>1900</v>
      </c>
      <c r="M104" s="172">
        <f t="shared" si="4"/>
        <v>0</v>
      </c>
      <c r="N104" s="172" t="b">
        <f t="shared" si="5"/>
        <v>0</v>
      </c>
      <c r="O104" s="305"/>
      <c r="Q104" s="2"/>
    </row>
    <row r="105" spans="2:17" ht="12.75">
      <c r="B105" s="296">
        <v>35</v>
      </c>
      <c r="C105" s="306"/>
      <c r="D105" s="243"/>
      <c r="E105" s="42"/>
      <c r="F105" s="15"/>
      <c r="G105" s="15"/>
      <c r="H105" s="302">
        <f>IF(COUNTA(G105),"X",IF(COUNTA(G106),"X",IF(COUNTA(G107),"X","")))</f>
      </c>
      <c r="I105" s="18" t="str">
        <f t="shared" si="9"/>
        <v>?</v>
      </c>
      <c r="J105" s="19">
        <f t="shared" si="2"/>
      </c>
      <c r="K105" s="20" t="str">
        <f t="shared" si="10"/>
        <v>trop vieux</v>
      </c>
      <c r="L105" s="172">
        <f t="shared" si="3"/>
        <v>1900</v>
      </c>
      <c r="M105" s="172">
        <f t="shared" si="4"/>
        <v>0</v>
      </c>
      <c r="N105" s="172" t="b">
        <f t="shared" si="5"/>
        <v>0</v>
      </c>
      <c r="O105" s="305" t="e">
        <f>(1/AVERAGE(N105:N107)+1/SMALL((N105:N107),1))/100</f>
        <v>#DIV/0!</v>
      </c>
      <c r="Q105" s="2"/>
    </row>
    <row r="106" spans="2:17" ht="12.75">
      <c r="B106" s="297"/>
      <c r="C106" s="307"/>
      <c r="D106" s="244"/>
      <c r="E106" s="43"/>
      <c r="F106" s="16"/>
      <c r="G106" s="16"/>
      <c r="H106" s="303"/>
      <c r="I106" s="21" t="str">
        <f t="shared" si="9"/>
        <v>?</v>
      </c>
      <c r="J106" s="22">
        <f t="shared" si="2"/>
      </c>
      <c r="K106" s="23" t="str">
        <f t="shared" si="10"/>
        <v>trop vieux</v>
      </c>
      <c r="L106" s="172">
        <f t="shared" si="3"/>
        <v>1900</v>
      </c>
      <c r="M106" s="172">
        <f t="shared" si="4"/>
        <v>0</v>
      </c>
      <c r="N106" s="172" t="b">
        <f t="shared" si="5"/>
        <v>0</v>
      </c>
      <c r="O106" s="305"/>
      <c r="Q106" s="2"/>
    </row>
    <row r="107" spans="2:17" ht="13.5" thickBot="1">
      <c r="B107" s="298"/>
      <c r="C107" s="308"/>
      <c r="D107" s="246"/>
      <c r="E107" s="44"/>
      <c r="F107" s="17"/>
      <c r="G107" s="17"/>
      <c r="H107" s="304"/>
      <c r="I107" s="24" t="str">
        <f t="shared" si="9"/>
        <v>?</v>
      </c>
      <c r="J107" s="175">
        <f aca="true" t="shared" si="11" ref="J107:J137">IF(I107="?","","ans")</f>
      </c>
      <c r="K107" s="26" t="str">
        <f t="shared" si="10"/>
        <v>trop vieux</v>
      </c>
      <c r="L107" s="172">
        <f aca="true" t="shared" si="12" ref="L107:L137">YEAR(E107)</f>
        <v>1900</v>
      </c>
      <c r="M107" s="172">
        <f aca="true" t="shared" si="13" ref="M107:M137">E107</f>
        <v>0</v>
      </c>
      <c r="N107" s="172" t="b">
        <f aca="true" t="shared" si="14" ref="N107:N137">IF(M107&gt;0,$M$2-M107)</f>
        <v>0</v>
      </c>
      <c r="O107" s="305"/>
      <c r="Q107" s="2"/>
    </row>
    <row r="108" spans="2:17" ht="12.75">
      <c r="B108" s="296">
        <v>36</v>
      </c>
      <c r="C108" s="306"/>
      <c r="D108" s="243"/>
      <c r="E108" s="42"/>
      <c r="F108" s="15"/>
      <c r="G108" s="15"/>
      <c r="H108" s="302">
        <f>IF(COUNTA(G108),"X",IF(COUNTA(G109),"X",IF(COUNTA(G110),"X","")))</f>
      </c>
      <c r="I108" s="18" t="str">
        <f t="shared" si="9"/>
        <v>?</v>
      </c>
      <c r="J108" s="19">
        <f t="shared" si="11"/>
      </c>
      <c r="K108" s="20" t="str">
        <f t="shared" si="10"/>
        <v>trop vieux</v>
      </c>
      <c r="L108" s="172">
        <f t="shared" si="12"/>
        <v>1900</v>
      </c>
      <c r="M108" s="172">
        <f t="shared" si="13"/>
        <v>0</v>
      </c>
      <c r="N108" s="172" t="b">
        <f t="shared" si="14"/>
        <v>0</v>
      </c>
      <c r="O108" s="305" t="e">
        <f>(1/AVERAGE(N108:N110)+1/SMALL((N108:N110),1))/100</f>
        <v>#DIV/0!</v>
      </c>
      <c r="Q108" s="2"/>
    </row>
    <row r="109" spans="2:17" ht="12.75">
      <c r="B109" s="297"/>
      <c r="C109" s="307"/>
      <c r="D109" s="244"/>
      <c r="E109" s="43"/>
      <c r="F109" s="16"/>
      <c r="G109" s="16"/>
      <c r="H109" s="303"/>
      <c r="I109" s="21" t="str">
        <f t="shared" si="9"/>
        <v>?</v>
      </c>
      <c r="J109" s="22">
        <f t="shared" si="11"/>
      </c>
      <c r="K109" s="23" t="str">
        <f t="shared" si="10"/>
        <v>trop vieux</v>
      </c>
      <c r="L109" s="172">
        <f t="shared" si="12"/>
        <v>1900</v>
      </c>
      <c r="M109" s="172">
        <f t="shared" si="13"/>
        <v>0</v>
      </c>
      <c r="N109" s="172" t="b">
        <f t="shared" si="14"/>
        <v>0</v>
      </c>
      <c r="O109" s="305"/>
      <c r="Q109" s="2"/>
    </row>
    <row r="110" spans="2:17" ht="13.5" thickBot="1">
      <c r="B110" s="298"/>
      <c r="C110" s="308"/>
      <c r="D110" s="246"/>
      <c r="E110" s="44"/>
      <c r="F110" s="17"/>
      <c r="G110" s="17"/>
      <c r="H110" s="304"/>
      <c r="I110" s="24" t="str">
        <f t="shared" si="9"/>
        <v>?</v>
      </c>
      <c r="J110" s="175">
        <f t="shared" si="11"/>
      </c>
      <c r="K110" s="26" t="str">
        <f t="shared" si="10"/>
        <v>trop vieux</v>
      </c>
      <c r="L110" s="172">
        <f t="shared" si="12"/>
        <v>1900</v>
      </c>
      <c r="M110" s="172">
        <f t="shared" si="13"/>
        <v>0</v>
      </c>
      <c r="N110" s="172" t="b">
        <f t="shared" si="14"/>
        <v>0</v>
      </c>
      <c r="O110" s="305"/>
      <c r="Q110" s="2"/>
    </row>
    <row r="111" spans="2:17" ht="12.75">
      <c r="B111" s="296">
        <v>37</v>
      </c>
      <c r="C111" s="306"/>
      <c r="D111" s="243"/>
      <c r="E111" s="42"/>
      <c r="F111" s="15"/>
      <c r="G111" s="15"/>
      <c r="H111" s="302">
        <f>IF(COUNTA(G111),"X",IF(COUNTA(G112),"X",IF(COUNTA(G113),"X","")))</f>
      </c>
      <c r="I111" s="18" t="str">
        <f t="shared" si="9"/>
        <v>?</v>
      </c>
      <c r="J111" s="19">
        <f t="shared" si="11"/>
      </c>
      <c r="K111" s="20" t="str">
        <f t="shared" si="10"/>
        <v>trop vieux</v>
      </c>
      <c r="L111" s="172">
        <f t="shared" si="12"/>
        <v>1900</v>
      </c>
      <c r="M111" s="172">
        <f t="shared" si="13"/>
        <v>0</v>
      </c>
      <c r="N111" s="172" t="b">
        <f t="shared" si="14"/>
        <v>0</v>
      </c>
      <c r="O111" s="305" t="e">
        <f>(1/AVERAGE(N111:N113)+1/SMALL((N111:N113),1))/100</f>
        <v>#DIV/0!</v>
      </c>
      <c r="Q111" s="2"/>
    </row>
    <row r="112" spans="2:17" ht="12.75">
      <c r="B112" s="297"/>
      <c r="C112" s="307"/>
      <c r="D112" s="244"/>
      <c r="E112" s="43"/>
      <c r="F112" s="16"/>
      <c r="G112" s="16"/>
      <c r="H112" s="303"/>
      <c r="I112" s="21" t="str">
        <f t="shared" si="9"/>
        <v>?</v>
      </c>
      <c r="J112" s="22">
        <f t="shared" si="11"/>
      </c>
      <c r="K112" s="23" t="str">
        <f t="shared" si="10"/>
        <v>trop vieux</v>
      </c>
      <c r="L112" s="172">
        <f t="shared" si="12"/>
        <v>1900</v>
      </c>
      <c r="M112" s="172">
        <f t="shared" si="13"/>
        <v>0</v>
      </c>
      <c r="N112" s="172" t="b">
        <f t="shared" si="14"/>
        <v>0</v>
      </c>
      <c r="O112" s="305"/>
      <c r="Q112" s="2"/>
    </row>
    <row r="113" spans="2:17" ht="13.5" thickBot="1">
      <c r="B113" s="298"/>
      <c r="C113" s="308"/>
      <c r="D113" s="246"/>
      <c r="E113" s="44"/>
      <c r="F113" s="17"/>
      <c r="G113" s="17"/>
      <c r="H113" s="304"/>
      <c r="I113" s="24" t="str">
        <f t="shared" si="9"/>
        <v>?</v>
      </c>
      <c r="J113" s="175">
        <f t="shared" si="11"/>
      </c>
      <c r="K113" s="26" t="str">
        <f t="shared" si="10"/>
        <v>trop vieux</v>
      </c>
      <c r="L113" s="172">
        <f t="shared" si="12"/>
        <v>1900</v>
      </c>
      <c r="M113" s="172">
        <f t="shared" si="13"/>
        <v>0</v>
      </c>
      <c r="N113" s="172" t="b">
        <f t="shared" si="14"/>
        <v>0</v>
      </c>
      <c r="O113" s="305"/>
      <c r="Q113" s="2"/>
    </row>
    <row r="114" spans="2:17" ht="12.75">
      <c r="B114" s="296">
        <v>38</v>
      </c>
      <c r="C114" s="306"/>
      <c r="D114" s="243"/>
      <c r="E114" s="42"/>
      <c r="F114" s="15"/>
      <c r="G114" s="15"/>
      <c r="H114" s="302">
        <f>IF(COUNTA(G114),"X",IF(COUNTA(G115),"X",IF(COUNTA(G116),"X","")))</f>
      </c>
      <c r="I114" s="18" t="str">
        <f t="shared" si="9"/>
        <v>?</v>
      </c>
      <c r="J114" s="19">
        <f t="shared" si="11"/>
      </c>
      <c r="K114" s="20" t="str">
        <f t="shared" si="10"/>
        <v>trop vieux</v>
      </c>
      <c r="L114" s="172">
        <f t="shared" si="12"/>
        <v>1900</v>
      </c>
      <c r="M114" s="172">
        <f t="shared" si="13"/>
        <v>0</v>
      </c>
      <c r="N114" s="172" t="b">
        <f t="shared" si="14"/>
        <v>0</v>
      </c>
      <c r="O114" s="305" t="e">
        <f>(1/AVERAGE(N114:N116)+1/SMALL((N114:N116),1))/100</f>
        <v>#DIV/0!</v>
      </c>
      <c r="Q114" s="2"/>
    </row>
    <row r="115" spans="2:17" ht="12.75">
      <c r="B115" s="297"/>
      <c r="C115" s="307"/>
      <c r="D115" s="244"/>
      <c r="E115" s="43"/>
      <c r="F115" s="16"/>
      <c r="G115" s="16"/>
      <c r="H115" s="303"/>
      <c r="I115" s="21" t="str">
        <f t="shared" si="9"/>
        <v>?</v>
      </c>
      <c r="J115" s="22">
        <f t="shared" si="11"/>
      </c>
      <c r="K115" s="23" t="str">
        <f t="shared" si="10"/>
        <v>trop vieux</v>
      </c>
      <c r="L115" s="172">
        <f t="shared" si="12"/>
        <v>1900</v>
      </c>
      <c r="M115" s="172">
        <f t="shared" si="13"/>
        <v>0</v>
      </c>
      <c r="N115" s="172" t="b">
        <f t="shared" si="14"/>
        <v>0</v>
      </c>
      <c r="O115" s="305"/>
      <c r="Q115" s="2"/>
    </row>
    <row r="116" spans="2:17" ht="13.5" thickBot="1">
      <c r="B116" s="298"/>
      <c r="C116" s="308"/>
      <c r="D116" s="246"/>
      <c r="E116" s="44"/>
      <c r="F116" s="17"/>
      <c r="G116" s="17"/>
      <c r="H116" s="304"/>
      <c r="I116" s="24" t="str">
        <f t="shared" si="9"/>
        <v>?</v>
      </c>
      <c r="J116" s="175">
        <f t="shared" si="11"/>
      </c>
      <c r="K116" s="26" t="str">
        <f t="shared" si="10"/>
        <v>trop vieux</v>
      </c>
      <c r="L116" s="172">
        <f t="shared" si="12"/>
        <v>1900</v>
      </c>
      <c r="M116" s="172">
        <f t="shared" si="13"/>
        <v>0</v>
      </c>
      <c r="N116" s="172" t="b">
        <f t="shared" si="14"/>
        <v>0</v>
      </c>
      <c r="O116" s="305"/>
      <c r="Q116" s="2"/>
    </row>
    <row r="117" spans="2:17" ht="12.75">
      <c r="B117" s="296">
        <v>39</v>
      </c>
      <c r="C117" s="306"/>
      <c r="D117" s="243"/>
      <c r="E117" s="42"/>
      <c r="F117" s="15"/>
      <c r="G117" s="15"/>
      <c r="H117" s="302">
        <f>IF(COUNTA(G117),"X",IF(COUNTA(G118),"X",IF(COUNTA(G119),"X","")))</f>
      </c>
      <c r="I117" s="18" t="str">
        <f t="shared" si="9"/>
        <v>?</v>
      </c>
      <c r="J117" s="19">
        <f t="shared" si="11"/>
      </c>
      <c r="K117" s="20" t="str">
        <f t="shared" si="10"/>
        <v>trop vieux</v>
      </c>
      <c r="L117" s="172">
        <f t="shared" si="12"/>
        <v>1900</v>
      </c>
      <c r="M117" s="172">
        <f t="shared" si="13"/>
        <v>0</v>
      </c>
      <c r="N117" s="172" t="b">
        <f t="shared" si="14"/>
        <v>0</v>
      </c>
      <c r="O117" s="305" t="e">
        <f>(1/AVERAGE(N117:N119)+1/SMALL((N117:N119),1))/100</f>
        <v>#DIV/0!</v>
      </c>
      <c r="Q117" s="2"/>
    </row>
    <row r="118" spans="2:17" ht="12.75">
      <c r="B118" s="297"/>
      <c r="C118" s="307"/>
      <c r="D118" s="244"/>
      <c r="E118" s="43"/>
      <c r="F118" s="16"/>
      <c r="G118" s="16"/>
      <c r="H118" s="303"/>
      <c r="I118" s="21" t="str">
        <f t="shared" si="9"/>
        <v>?</v>
      </c>
      <c r="J118" s="22">
        <f t="shared" si="11"/>
      </c>
      <c r="K118" s="23" t="str">
        <f t="shared" si="10"/>
        <v>trop vieux</v>
      </c>
      <c r="L118" s="172">
        <f t="shared" si="12"/>
        <v>1900</v>
      </c>
      <c r="M118" s="172">
        <f t="shared" si="13"/>
        <v>0</v>
      </c>
      <c r="N118" s="172" t="b">
        <f t="shared" si="14"/>
        <v>0</v>
      </c>
      <c r="O118" s="305"/>
      <c r="Q118" s="2"/>
    </row>
    <row r="119" spans="2:17" ht="13.5" thickBot="1">
      <c r="B119" s="298"/>
      <c r="C119" s="308"/>
      <c r="D119" s="246"/>
      <c r="E119" s="44"/>
      <c r="F119" s="17"/>
      <c r="G119" s="17"/>
      <c r="H119" s="304"/>
      <c r="I119" s="24" t="str">
        <f t="shared" si="9"/>
        <v>?</v>
      </c>
      <c r="J119" s="175">
        <f t="shared" si="11"/>
      </c>
      <c r="K119" s="26" t="str">
        <f t="shared" si="10"/>
        <v>trop vieux</v>
      </c>
      <c r="L119" s="172">
        <f t="shared" si="12"/>
        <v>1900</v>
      </c>
      <c r="M119" s="172">
        <f t="shared" si="13"/>
        <v>0</v>
      </c>
      <c r="N119" s="172" t="b">
        <f t="shared" si="14"/>
        <v>0</v>
      </c>
      <c r="O119" s="305"/>
      <c r="Q119" s="2"/>
    </row>
    <row r="120" spans="2:17" ht="12.75">
      <c r="B120" s="296">
        <v>40</v>
      </c>
      <c r="C120" s="306"/>
      <c r="D120" s="243"/>
      <c r="E120" s="42"/>
      <c r="F120" s="15"/>
      <c r="G120" s="15"/>
      <c r="H120" s="302">
        <f>IF(COUNTA(G120),"X",IF(COUNTA(G121),"X",IF(COUNTA(G122),"X","")))</f>
      </c>
      <c r="I120" s="18" t="str">
        <f t="shared" si="9"/>
        <v>?</v>
      </c>
      <c r="J120" s="19">
        <f t="shared" si="11"/>
      </c>
      <c r="K120" s="20" t="str">
        <f t="shared" si="10"/>
        <v>trop vieux</v>
      </c>
      <c r="L120" s="172">
        <f t="shared" si="12"/>
        <v>1900</v>
      </c>
      <c r="M120" s="172">
        <f t="shared" si="13"/>
        <v>0</v>
      </c>
      <c r="N120" s="172" t="b">
        <f t="shared" si="14"/>
        <v>0</v>
      </c>
      <c r="O120" s="305" t="e">
        <f>(1/AVERAGE(N120:N122)+1/SMALL((N120:N122),1))/100</f>
        <v>#DIV/0!</v>
      </c>
      <c r="Q120" s="2"/>
    </row>
    <row r="121" spans="2:17" ht="12.75">
      <c r="B121" s="297"/>
      <c r="C121" s="307"/>
      <c r="D121" s="244"/>
      <c r="E121" s="43"/>
      <c r="F121" s="16"/>
      <c r="G121" s="16"/>
      <c r="H121" s="303"/>
      <c r="I121" s="21" t="str">
        <f t="shared" si="9"/>
        <v>?</v>
      </c>
      <c r="J121" s="22">
        <f t="shared" si="11"/>
      </c>
      <c r="K121" s="23" t="str">
        <f t="shared" si="10"/>
        <v>trop vieux</v>
      </c>
      <c r="L121" s="172">
        <f t="shared" si="12"/>
        <v>1900</v>
      </c>
      <c r="M121" s="172">
        <f t="shared" si="13"/>
        <v>0</v>
      </c>
      <c r="N121" s="172" t="b">
        <f t="shared" si="14"/>
        <v>0</v>
      </c>
      <c r="O121" s="305"/>
      <c r="Q121" s="2"/>
    </row>
    <row r="122" spans="2:17" ht="13.5" thickBot="1">
      <c r="B122" s="298"/>
      <c r="C122" s="308"/>
      <c r="D122" s="246"/>
      <c r="E122" s="44"/>
      <c r="F122" s="17"/>
      <c r="G122" s="17"/>
      <c r="H122" s="304"/>
      <c r="I122" s="24" t="str">
        <f t="shared" si="9"/>
        <v>?</v>
      </c>
      <c r="J122" s="175">
        <f t="shared" si="11"/>
      </c>
      <c r="K122" s="26" t="str">
        <f t="shared" si="10"/>
        <v>trop vieux</v>
      </c>
      <c r="L122" s="172">
        <f t="shared" si="12"/>
        <v>1900</v>
      </c>
      <c r="M122" s="172">
        <f t="shared" si="13"/>
        <v>0</v>
      </c>
      <c r="N122" s="172" t="b">
        <f t="shared" si="14"/>
        <v>0</v>
      </c>
      <c r="O122" s="305"/>
      <c r="Q122" s="2"/>
    </row>
    <row r="123" spans="2:17" ht="12.75">
      <c r="B123" s="296">
        <v>41</v>
      </c>
      <c r="C123" s="306"/>
      <c r="D123" s="243"/>
      <c r="E123" s="42"/>
      <c r="F123" s="15"/>
      <c r="G123" s="15"/>
      <c r="H123" s="302">
        <f>IF(COUNTA(G123),"X",IF(COUNTA(G124),"X",IF(COUNTA(G125),"X","")))</f>
      </c>
      <c r="I123" s="18" t="str">
        <f t="shared" si="9"/>
        <v>?</v>
      </c>
      <c r="J123" s="19">
        <f t="shared" si="11"/>
      </c>
      <c r="K123" s="20" t="str">
        <f t="shared" si="10"/>
        <v>trop vieux</v>
      </c>
      <c r="L123" s="172">
        <f t="shared" si="12"/>
        <v>1900</v>
      </c>
      <c r="M123" s="172">
        <f t="shared" si="13"/>
        <v>0</v>
      </c>
      <c r="N123" s="172" t="b">
        <f t="shared" si="14"/>
        <v>0</v>
      </c>
      <c r="O123" s="305" t="e">
        <f>(1/AVERAGE(N123:N125)+1/SMALL((N123:N125),1))/100</f>
        <v>#DIV/0!</v>
      </c>
      <c r="Q123" s="2"/>
    </row>
    <row r="124" spans="2:17" ht="12.75">
      <c r="B124" s="297"/>
      <c r="C124" s="307"/>
      <c r="D124" s="244"/>
      <c r="E124" s="43"/>
      <c r="F124" s="16"/>
      <c r="G124" s="16"/>
      <c r="H124" s="303"/>
      <c r="I124" s="21" t="str">
        <f t="shared" si="9"/>
        <v>?</v>
      </c>
      <c r="J124" s="22">
        <f t="shared" si="11"/>
      </c>
      <c r="K124" s="23" t="str">
        <f t="shared" si="10"/>
        <v>trop vieux</v>
      </c>
      <c r="L124" s="172">
        <f t="shared" si="12"/>
        <v>1900</v>
      </c>
      <c r="M124" s="172">
        <f t="shared" si="13"/>
        <v>0</v>
      </c>
      <c r="N124" s="172" t="b">
        <f t="shared" si="14"/>
        <v>0</v>
      </c>
      <c r="O124" s="305"/>
      <c r="Q124" s="2"/>
    </row>
    <row r="125" spans="2:17" ht="13.5" thickBot="1">
      <c r="B125" s="298"/>
      <c r="C125" s="308"/>
      <c r="D125" s="246"/>
      <c r="E125" s="44"/>
      <c r="F125" s="17"/>
      <c r="G125" s="17"/>
      <c r="H125" s="304"/>
      <c r="I125" s="24" t="str">
        <f t="shared" si="9"/>
        <v>?</v>
      </c>
      <c r="J125" s="175">
        <f t="shared" si="11"/>
      </c>
      <c r="K125" s="26" t="str">
        <f t="shared" si="10"/>
        <v>trop vieux</v>
      </c>
      <c r="L125" s="172">
        <f t="shared" si="12"/>
        <v>1900</v>
      </c>
      <c r="M125" s="172">
        <f t="shared" si="13"/>
        <v>0</v>
      </c>
      <c r="N125" s="172" t="b">
        <f t="shared" si="14"/>
        <v>0</v>
      </c>
      <c r="O125" s="305"/>
      <c r="Q125" s="2"/>
    </row>
    <row r="126" spans="2:17" ht="12.75">
      <c r="B126" s="296">
        <v>42</v>
      </c>
      <c r="C126" s="306"/>
      <c r="D126" s="243"/>
      <c r="E126" s="42"/>
      <c r="F126" s="15"/>
      <c r="G126" s="15"/>
      <c r="H126" s="302">
        <f>IF(COUNTA(G126),"X",IF(COUNTA(G127),"X",IF(COUNTA(G128),"X","")))</f>
      </c>
      <c r="I126" s="18" t="str">
        <f t="shared" si="9"/>
        <v>?</v>
      </c>
      <c r="J126" s="19">
        <f t="shared" si="11"/>
      </c>
      <c r="K126" s="20" t="str">
        <f t="shared" si="10"/>
        <v>trop vieux</v>
      </c>
      <c r="L126" s="172">
        <f t="shared" si="12"/>
        <v>1900</v>
      </c>
      <c r="M126" s="172">
        <f t="shared" si="13"/>
        <v>0</v>
      </c>
      <c r="N126" s="172" t="b">
        <f t="shared" si="14"/>
        <v>0</v>
      </c>
      <c r="O126" s="305" t="e">
        <f>(1/AVERAGE(N126:N128)+1/SMALL((N126:N128),1))/100</f>
        <v>#DIV/0!</v>
      </c>
      <c r="Q126" s="2"/>
    </row>
    <row r="127" spans="2:17" ht="12.75">
      <c r="B127" s="297"/>
      <c r="C127" s="307"/>
      <c r="D127" s="244"/>
      <c r="E127" s="43"/>
      <c r="F127" s="16"/>
      <c r="G127" s="16"/>
      <c r="H127" s="303"/>
      <c r="I127" s="21" t="str">
        <f t="shared" si="9"/>
        <v>?</v>
      </c>
      <c r="J127" s="22">
        <f t="shared" si="11"/>
      </c>
      <c r="K127" s="23" t="str">
        <f t="shared" si="10"/>
        <v>trop vieux</v>
      </c>
      <c r="L127" s="172">
        <f t="shared" si="12"/>
        <v>1900</v>
      </c>
      <c r="M127" s="172">
        <f t="shared" si="13"/>
        <v>0</v>
      </c>
      <c r="N127" s="172" t="b">
        <f t="shared" si="14"/>
        <v>0</v>
      </c>
      <c r="O127" s="305"/>
      <c r="Q127" s="2"/>
    </row>
    <row r="128" spans="2:17" ht="13.5" thickBot="1">
      <c r="B128" s="298"/>
      <c r="C128" s="308"/>
      <c r="D128" s="246"/>
      <c r="E128" s="44"/>
      <c r="F128" s="17"/>
      <c r="G128" s="17"/>
      <c r="H128" s="304"/>
      <c r="I128" s="24" t="str">
        <f t="shared" si="9"/>
        <v>?</v>
      </c>
      <c r="J128" s="175">
        <f t="shared" si="11"/>
      </c>
      <c r="K128" s="26" t="str">
        <f t="shared" si="10"/>
        <v>trop vieux</v>
      </c>
      <c r="L128" s="172">
        <f t="shared" si="12"/>
        <v>1900</v>
      </c>
      <c r="M128" s="172">
        <f t="shared" si="13"/>
        <v>0</v>
      </c>
      <c r="N128" s="172" t="b">
        <f t="shared" si="14"/>
        <v>0</v>
      </c>
      <c r="O128" s="305"/>
      <c r="Q128" s="2"/>
    </row>
    <row r="129" spans="2:17" ht="12.75">
      <c r="B129" s="296">
        <v>43</v>
      </c>
      <c r="C129" s="306"/>
      <c r="D129" s="243"/>
      <c r="E129" s="42"/>
      <c r="F129" s="15"/>
      <c r="G129" s="15"/>
      <c r="H129" s="302">
        <f>IF(COUNTA(G129),"X",IF(COUNTA(G130),"X",IF(COUNTA(G131),"X","")))</f>
      </c>
      <c r="I129" s="18" t="str">
        <f t="shared" si="9"/>
        <v>?</v>
      </c>
      <c r="J129" s="19">
        <f t="shared" si="11"/>
      </c>
      <c r="K129" s="20" t="str">
        <f t="shared" si="10"/>
        <v>trop vieux</v>
      </c>
      <c r="L129" s="172">
        <f t="shared" si="12"/>
        <v>1900</v>
      </c>
      <c r="M129" s="172">
        <f t="shared" si="13"/>
        <v>0</v>
      </c>
      <c r="N129" s="172" t="b">
        <f t="shared" si="14"/>
        <v>0</v>
      </c>
      <c r="O129" s="305" t="e">
        <f>(1/AVERAGE(N129:N131)+1/SMALL((N129:N131),1))/100</f>
        <v>#DIV/0!</v>
      </c>
      <c r="Q129" s="2"/>
    </row>
    <row r="130" spans="2:17" ht="12.75">
      <c r="B130" s="297"/>
      <c r="C130" s="307"/>
      <c r="D130" s="244"/>
      <c r="E130" s="43"/>
      <c r="F130" s="16"/>
      <c r="G130" s="16"/>
      <c r="H130" s="303"/>
      <c r="I130" s="21" t="str">
        <f t="shared" si="9"/>
        <v>?</v>
      </c>
      <c r="J130" s="22">
        <f t="shared" si="11"/>
      </c>
      <c r="K130" s="23" t="str">
        <f t="shared" si="10"/>
        <v>trop vieux</v>
      </c>
      <c r="L130" s="172">
        <f t="shared" si="12"/>
        <v>1900</v>
      </c>
      <c r="M130" s="172">
        <f t="shared" si="13"/>
        <v>0</v>
      </c>
      <c r="N130" s="172" t="b">
        <f t="shared" si="14"/>
        <v>0</v>
      </c>
      <c r="O130" s="305"/>
      <c r="Q130" s="2"/>
    </row>
    <row r="131" spans="2:17" ht="13.5" thickBot="1">
      <c r="B131" s="298"/>
      <c r="C131" s="308"/>
      <c r="D131" s="246"/>
      <c r="E131" s="44"/>
      <c r="F131" s="17"/>
      <c r="G131" s="17"/>
      <c r="H131" s="304"/>
      <c r="I131" s="24" t="str">
        <f t="shared" si="9"/>
        <v>?</v>
      </c>
      <c r="J131" s="175">
        <f t="shared" si="11"/>
      </c>
      <c r="K131" s="26" t="str">
        <f t="shared" si="10"/>
        <v>trop vieux</v>
      </c>
      <c r="L131" s="172">
        <f t="shared" si="12"/>
        <v>1900</v>
      </c>
      <c r="M131" s="172">
        <f t="shared" si="13"/>
        <v>0</v>
      </c>
      <c r="N131" s="172" t="b">
        <f t="shared" si="14"/>
        <v>0</v>
      </c>
      <c r="O131" s="305"/>
      <c r="Q131" s="2"/>
    </row>
    <row r="132" spans="2:17" ht="12.75">
      <c r="B132" s="296">
        <v>44</v>
      </c>
      <c r="C132" s="306"/>
      <c r="D132" s="243"/>
      <c r="E132" s="42"/>
      <c r="F132" s="15"/>
      <c r="G132" s="15"/>
      <c r="H132" s="302">
        <f>IF(COUNTA(G132),"X",IF(COUNTA(G133),"X",IF(COUNTA(G134),"X","")))</f>
      </c>
      <c r="I132" s="18" t="str">
        <f aca="true" t="shared" si="15" ref="I132:I137">IF(E132="","?",TRUNC(N132/365))</f>
        <v>?</v>
      </c>
      <c r="J132" s="19">
        <f t="shared" si="11"/>
      </c>
      <c r="K132" s="20" t="str">
        <f t="shared" si="10"/>
        <v>trop vieux</v>
      </c>
      <c r="L132" s="172">
        <f t="shared" si="12"/>
        <v>1900</v>
      </c>
      <c r="M132" s="172">
        <f t="shared" si="13"/>
        <v>0</v>
      </c>
      <c r="N132" s="172" t="b">
        <f t="shared" si="14"/>
        <v>0</v>
      </c>
      <c r="O132" s="305" t="e">
        <f>(1/AVERAGE(N132:N134)+1/SMALL((N132:N134),1))/100</f>
        <v>#DIV/0!</v>
      </c>
      <c r="Q132" s="2"/>
    </row>
    <row r="133" spans="2:17" ht="12.75">
      <c r="B133" s="297"/>
      <c r="C133" s="307"/>
      <c r="D133" s="244"/>
      <c r="E133" s="43"/>
      <c r="F133" s="16"/>
      <c r="G133" s="16"/>
      <c r="H133" s="303"/>
      <c r="I133" s="21" t="str">
        <f t="shared" si="15"/>
        <v>?</v>
      </c>
      <c r="J133" s="22">
        <f t="shared" si="11"/>
      </c>
      <c r="K133" s="23" t="str">
        <f t="shared" si="10"/>
        <v>trop vieux</v>
      </c>
      <c r="L133" s="172">
        <f t="shared" si="12"/>
        <v>1900</v>
      </c>
      <c r="M133" s="172">
        <f t="shared" si="13"/>
        <v>0</v>
      </c>
      <c r="N133" s="172" t="b">
        <f t="shared" si="14"/>
        <v>0</v>
      </c>
      <c r="O133" s="305"/>
      <c r="Q133" s="2"/>
    </row>
    <row r="134" spans="2:17" ht="13.5" thickBot="1">
      <c r="B134" s="298"/>
      <c r="C134" s="308"/>
      <c r="D134" s="246"/>
      <c r="E134" s="44"/>
      <c r="F134" s="17"/>
      <c r="G134" s="17"/>
      <c r="H134" s="304"/>
      <c r="I134" s="24" t="str">
        <f t="shared" si="15"/>
        <v>?</v>
      </c>
      <c r="J134" s="175">
        <f t="shared" si="11"/>
      </c>
      <c r="K134" s="26" t="str">
        <f t="shared" si="10"/>
        <v>trop vieux</v>
      </c>
      <c r="L134" s="172">
        <f t="shared" si="12"/>
        <v>1900</v>
      </c>
      <c r="M134" s="172">
        <f t="shared" si="13"/>
        <v>0</v>
      </c>
      <c r="N134" s="172" t="b">
        <f t="shared" si="14"/>
        <v>0</v>
      </c>
      <c r="O134" s="305"/>
      <c r="Q134" s="2"/>
    </row>
    <row r="135" spans="2:17" ht="12.75">
      <c r="B135" s="296">
        <v>45</v>
      </c>
      <c r="C135" s="306"/>
      <c r="D135" s="243"/>
      <c r="E135" s="42"/>
      <c r="F135" s="15"/>
      <c r="G135" s="15"/>
      <c r="H135" s="302">
        <f>IF(COUNTA(G135),"X",IF(COUNTA(G136),"X",IF(COUNTA(G137),"X","")))</f>
      </c>
      <c r="I135" s="18" t="str">
        <f t="shared" si="15"/>
        <v>?</v>
      </c>
      <c r="J135" s="19">
        <f t="shared" si="11"/>
      </c>
      <c r="K135" s="20" t="str">
        <f t="shared" si="10"/>
        <v>trop vieux</v>
      </c>
      <c r="L135" s="172">
        <f t="shared" si="12"/>
        <v>1900</v>
      </c>
      <c r="M135" s="172">
        <f t="shared" si="13"/>
        <v>0</v>
      </c>
      <c r="N135" s="172" t="b">
        <f t="shared" si="14"/>
        <v>0</v>
      </c>
      <c r="O135" s="305" t="e">
        <f>(1/AVERAGE(N135:N137)+1/SMALL((N135:N137),1))/100</f>
        <v>#DIV/0!</v>
      </c>
      <c r="Q135" s="2"/>
    </row>
    <row r="136" spans="2:17" ht="12.75">
      <c r="B136" s="297"/>
      <c r="C136" s="307"/>
      <c r="D136" s="244"/>
      <c r="E136" s="43"/>
      <c r="F136" s="16"/>
      <c r="G136" s="16"/>
      <c r="H136" s="303"/>
      <c r="I136" s="21" t="str">
        <f t="shared" si="15"/>
        <v>?</v>
      </c>
      <c r="J136" s="22">
        <f t="shared" si="11"/>
      </c>
      <c r="K136" s="23" t="str">
        <f t="shared" si="10"/>
        <v>trop vieux</v>
      </c>
      <c r="L136" s="172">
        <f t="shared" si="12"/>
        <v>1900</v>
      </c>
      <c r="M136" s="172">
        <f t="shared" si="13"/>
        <v>0</v>
      </c>
      <c r="N136" s="172" t="b">
        <f t="shared" si="14"/>
        <v>0</v>
      </c>
      <c r="O136" s="305"/>
      <c r="Q136" s="2"/>
    </row>
    <row r="137" spans="2:17" ht="13.5" thickBot="1">
      <c r="B137" s="298"/>
      <c r="C137" s="308"/>
      <c r="D137" s="246"/>
      <c r="E137" s="44"/>
      <c r="F137" s="17"/>
      <c r="G137" s="17"/>
      <c r="H137" s="304"/>
      <c r="I137" s="24" t="str">
        <f t="shared" si="15"/>
        <v>?</v>
      </c>
      <c r="J137" s="25">
        <f t="shared" si="11"/>
      </c>
      <c r="K137" s="26" t="str">
        <f t="shared" si="10"/>
        <v>trop vieux</v>
      </c>
      <c r="L137" s="172">
        <f t="shared" si="12"/>
        <v>1900</v>
      </c>
      <c r="M137" s="172">
        <f t="shared" si="13"/>
        <v>0</v>
      </c>
      <c r="N137" s="172" t="b">
        <f t="shared" si="14"/>
        <v>0</v>
      </c>
      <c r="O137" s="305"/>
      <c r="Q137" s="2"/>
    </row>
  </sheetData>
  <sheetProtection/>
  <mergeCells count="183">
    <mergeCell ref="C48:C50"/>
    <mergeCell ref="C51:C53"/>
    <mergeCell ref="H3:H5"/>
    <mergeCell ref="C3:C5"/>
    <mergeCell ref="C45:C47"/>
    <mergeCell ref="H45:H47"/>
    <mergeCell ref="H48:H50"/>
    <mergeCell ref="H51:H53"/>
    <mergeCell ref="C6:C8"/>
    <mergeCell ref="H6:H8"/>
    <mergeCell ref="B3:B5"/>
    <mergeCell ref="B45:B47"/>
    <mergeCell ref="B48:B50"/>
    <mergeCell ref="B51:B53"/>
    <mergeCell ref="B6:B8"/>
    <mergeCell ref="B12:B14"/>
    <mergeCell ref="B18:B20"/>
    <mergeCell ref="B24:B26"/>
    <mergeCell ref="B30:B32"/>
    <mergeCell ref="B36:B38"/>
    <mergeCell ref="B54:B56"/>
    <mergeCell ref="C54:C56"/>
    <mergeCell ref="H54:H56"/>
    <mergeCell ref="B57:B59"/>
    <mergeCell ref="C57:C59"/>
    <mergeCell ref="H57:H59"/>
    <mergeCell ref="B60:B62"/>
    <mergeCell ref="C60:C62"/>
    <mergeCell ref="H60:H62"/>
    <mergeCell ref="B63:B65"/>
    <mergeCell ref="C63:C65"/>
    <mergeCell ref="H63:H65"/>
    <mergeCell ref="B66:B68"/>
    <mergeCell ref="C66:C68"/>
    <mergeCell ref="H66:H68"/>
    <mergeCell ref="B69:B71"/>
    <mergeCell ref="C69:C71"/>
    <mergeCell ref="H69:H71"/>
    <mergeCell ref="B72:B74"/>
    <mergeCell ref="C72:C74"/>
    <mergeCell ref="H72:H74"/>
    <mergeCell ref="B75:B77"/>
    <mergeCell ref="C75:C77"/>
    <mergeCell ref="H75:H77"/>
    <mergeCell ref="B78:B80"/>
    <mergeCell ref="C78:C80"/>
    <mergeCell ref="H78:H80"/>
    <mergeCell ref="B81:B83"/>
    <mergeCell ref="C81:C83"/>
    <mergeCell ref="H81:H83"/>
    <mergeCell ref="B84:B86"/>
    <mergeCell ref="C84:C86"/>
    <mergeCell ref="H84:H86"/>
    <mergeCell ref="B87:B89"/>
    <mergeCell ref="C87:C89"/>
    <mergeCell ref="H87:H89"/>
    <mergeCell ref="B90:B92"/>
    <mergeCell ref="C90:C92"/>
    <mergeCell ref="H90:H92"/>
    <mergeCell ref="B93:B95"/>
    <mergeCell ref="C93:C95"/>
    <mergeCell ref="H93:H95"/>
    <mergeCell ref="B96:B98"/>
    <mergeCell ref="C96:C98"/>
    <mergeCell ref="H96:H98"/>
    <mergeCell ref="B99:B101"/>
    <mergeCell ref="C99:C101"/>
    <mergeCell ref="H99:H101"/>
    <mergeCell ref="B102:B104"/>
    <mergeCell ref="C102:C104"/>
    <mergeCell ref="H102:H104"/>
    <mergeCell ref="B105:B107"/>
    <mergeCell ref="C105:C107"/>
    <mergeCell ref="H105:H107"/>
    <mergeCell ref="B108:B110"/>
    <mergeCell ref="C108:C110"/>
    <mergeCell ref="H108:H110"/>
    <mergeCell ref="B111:B113"/>
    <mergeCell ref="C111:C113"/>
    <mergeCell ref="H111:H113"/>
    <mergeCell ref="C123:C125"/>
    <mergeCell ref="H123:H125"/>
    <mergeCell ref="B114:B116"/>
    <mergeCell ref="C114:C116"/>
    <mergeCell ref="H114:H116"/>
    <mergeCell ref="B117:B119"/>
    <mergeCell ref="C117:C119"/>
    <mergeCell ref="H117:H119"/>
    <mergeCell ref="B135:B137"/>
    <mergeCell ref="C135:C137"/>
    <mergeCell ref="H135:H137"/>
    <mergeCell ref="B126:B128"/>
    <mergeCell ref="C126:C128"/>
    <mergeCell ref="H126:H128"/>
    <mergeCell ref="B129:B131"/>
    <mergeCell ref="C129:C131"/>
    <mergeCell ref="H129:H131"/>
    <mergeCell ref="O3:O5"/>
    <mergeCell ref="O45:O47"/>
    <mergeCell ref="O48:O50"/>
    <mergeCell ref="B132:B134"/>
    <mergeCell ref="C132:C134"/>
    <mergeCell ref="H132:H134"/>
    <mergeCell ref="B120:B122"/>
    <mergeCell ref="C120:C122"/>
    <mergeCell ref="H120:H122"/>
    <mergeCell ref="B123:B125"/>
    <mergeCell ref="O51:O53"/>
    <mergeCell ref="O54:O56"/>
    <mergeCell ref="O57:O59"/>
    <mergeCell ref="O60:O62"/>
    <mergeCell ref="O63:O65"/>
    <mergeCell ref="O66:O68"/>
    <mergeCell ref="O69:O71"/>
    <mergeCell ref="O72:O74"/>
    <mergeCell ref="O75:O77"/>
    <mergeCell ref="O78:O80"/>
    <mergeCell ref="O81:O83"/>
    <mergeCell ref="O84:O86"/>
    <mergeCell ref="O87:O89"/>
    <mergeCell ref="O90:O92"/>
    <mergeCell ref="O93:O95"/>
    <mergeCell ref="O96:O98"/>
    <mergeCell ref="O120:O122"/>
    <mergeCell ref="O99:O101"/>
    <mergeCell ref="O102:O104"/>
    <mergeCell ref="O105:O107"/>
    <mergeCell ref="O108:O110"/>
    <mergeCell ref="O135:O137"/>
    <mergeCell ref="I2:K2"/>
    <mergeCell ref="B2:C2"/>
    <mergeCell ref="O123:O125"/>
    <mergeCell ref="O126:O128"/>
    <mergeCell ref="O129:O131"/>
    <mergeCell ref="O132:O134"/>
    <mergeCell ref="O111:O113"/>
    <mergeCell ref="O114:O116"/>
    <mergeCell ref="O117:O119"/>
    <mergeCell ref="O6:O8"/>
    <mergeCell ref="B9:B11"/>
    <mergeCell ref="C9:C11"/>
    <mergeCell ref="H9:H11"/>
    <mergeCell ref="O9:O11"/>
    <mergeCell ref="C12:C14"/>
    <mergeCell ref="H12:H14"/>
    <mergeCell ref="O12:O14"/>
    <mergeCell ref="B15:B17"/>
    <mergeCell ref="C15:C17"/>
    <mergeCell ref="H15:H17"/>
    <mergeCell ref="O15:O17"/>
    <mergeCell ref="C18:C20"/>
    <mergeCell ref="H18:H20"/>
    <mergeCell ref="O18:O20"/>
    <mergeCell ref="B21:B23"/>
    <mergeCell ref="C21:C23"/>
    <mergeCell ref="H21:H23"/>
    <mergeCell ref="O21:O23"/>
    <mergeCell ref="C24:C26"/>
    <mergeCell ref="H24:H26"/>
    <mergeCell ref="O24:O26"/>
    <mergeCell ref="B27:B29"/>
    <mergeCell ref="C27:C29"/>
    <mergeCell ref="H27:H29"/>
    <mergeCell ref="O27:O29"/>
    <mergeCell ref="B33:B35"/>
    <mergeCell ref="C33:C35"/>
    <mergeCell ref="H33:H35"/>
    <mergeCell ref="O33:O35"/>
    <mergeCell ref="H39:H41"/>
    <mergeCell ref="O39:O41"/>
    <mergeCell ref="C30:C32"/>
    <mergeCell ref="H30:H32"/>
    <mergeCell ref="O30:O32"/>
    <mergeCell ref="Q2:R2"/>
    <mergeCell ref="B42:B44"/>
    <mergeCell ref="C42:C44"/>
    <mergeCell ref="H42:H44"/>
    <mergeCell ref="O42:O44"/>
    <mergeCell ref="C36:C38"/>
    <mergeCell ref="H36:H38"/>
    <mergeCell ref="O36:O38"/>
    <mergeCell ref="B39:B41"/>
    <mergeCell ref="C39:C41"/>
  </mergeCells>
  <conditionalFormatting sqref="K3:K137">
    <cfRule type="expression" priority="1" dxfId="0" stopIfTrue="1">
      <formula>$E3=""</formula>
    </cfRule>
  </conditionalFormatting>
  <printOptions/>
  <pageMargins left="0.75" right="0.75" top="1" bottom="1" header="0.4921259845" footer="0.4921259845"/>
  <pageSetup fitToHeight="1" fitToWidth="1" horizontalDpi="300" verticalDpi="300" orientation="portrait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AA55"/>
  <sheetViews>
    <sheetView workbookViewId="0" topLeftCell="A1">
      <selection activeCell="J19" sqref="J19"/>
    </sheetView>
  </sheetViews>
  <sheetFormatPr defaultColWidth="11.421875" defaultRowHeight="12.75"/>
  <cols>
    <col min="1" max="1" width="1.421875" style="129" customWidth="1"/>
    <col min="2" max="2" width="5.140625" style="0" hidden="1" customWidth="1"/>
    <col min="3" max="3" width="32.7109375" style="0" customWidth="1"/>
    <col min="4" max="4" width="3.7109375" style="50" customWidth="1"/>
    <col min="5" max="5" width="3.7109375" style="50" hidden="1" customWidth="1"/>
    <col min="6" max="6" width="11.421875" style="1" customWidth="1"/>
    <col min="7" max="7" width="2.7109375" style="1" hidden="1" customWidth="1"/>
    <col min="8" max="8" width="3.7109375" style="1" customWidth="1"/>
    <col min="9" max="9" width="3.7109375" style="1" hidden="1" customWidth="1"/>
    <col min="10" max="10" width="11.421875" style="1" customWidth="1"/>
    <col min="11" max="11" width="2.7109375" style="1" hidden="1" customWidth="1"/>
    <col min="12" max="12" width="3.7109375" style="1" customWidth="1"/>
    <col min="13" max="13" width="3.7109375" style="1" hidden="1" customWidth="1"/>
    <col min="14" max="14" width="11.421875" style="1" customWidth="1"/>
    <col min="15" max="15" width="2.7109375" style="1" hidden="1" customWidth="1"/>
    <col min="16" max="16" width="3.7109375" style="1" customWidth="1"/>
    <col min="17" max="17" width="3.7109375" style="1" hidden="1" customWidth="1"/>
    <col min="18" max="18" width="11.421875" style="1" customWidth="1"/>
    <col min="19" max="19" width="2.7109375" style="1" hidden="1" customWidth="1"/>
    <col min="20" max="20" width="3.7109375" style="1" customWidth="1"/>
    <col min="21" max="21" width="3.7109375" style="1" hidden="1" customWidth="1"/>
    <col min="22" max="22" width="11.421875" style="1" customWidth="1"/>
    <col min="23" max="23" width="2.7109375" style="1" hidden="1" customWidth="1"/>
    <col min="24" max="24" width="11.421875" style="1" customWidth="1"/>
    <col min="25" max="25" width="4.140625" style="0" customWidth="1"/>
    <col min="26" max="26" width="2.57421875" style="0" customWidth="1"/>
    <col min="27" max="27" width="35.28125" style="0" customWidth="1"/>
  </cols>
  <sheetData>
    <row r="1" ht="4.5" customHeight="1" thickBot="1"/>
    <row r="2" spans="1:25" s="4" customFormat="1" ht="25.5" customHeight="1" thickBot="1">
      <c r="A2" s="130"/>
      <c r="B2" s="47"/>
      <c r="C2" s="239" t="s">
        <v>0</v>
      </c>
      <c r="D2" s="319" t="s">
        <v>27</v>
      </c>
      <c r="E2" s="320"/>
      <c r="F2" s="320"/>
      <c r="G2" s="321"/>
      <c r="H2" s="322" t="s">
        <v>28</v>
      </c>
      <c r="I2" s="323"/>
      <c r="J2" s="323"/>
      <c r="K2" s="324"/>
      <c r="L2" s="325" t="s">
        <v>31</v>
      </c>
      <c r="M2" s="326"/>
      <c r="N2" s="326"/>
      <c r="O2" s="57"/>
      <c r="P2" s="327" t="s">
        <v>29</v>
      </c>
      <c r="Q2" s="328"/>
      <c r="R2" s="328"/>
      <c r="S2" s="329"/>
      <c r="T2" s="315" t="s">
        <v>30</v>
      </c>
      <c r="U2" s="316"/>
      <c r="V2" s="316"/>
      <c r="W2" s="316"/>
      <c r="X2" s="317" t="s">
        <v>32</v>
      </c>
      <c r="Y2" s="318"/>
    </row>
    <row r="3" spans="1:27" ht="12.75">
      <c r="A3" s="130">
        <v>1</v>
      </c>
      <c r="B3" s="33">
        <f>Y3</f>
        <v>1</v>
      </c>
      <c r="C3" s="240" t="str">
        <f>VLOOKUP($A3,Inscription!$B$3:$I$137,2)</f>
        <v>The Tigers</v>
      </c>
      <c r="D3" s="176">
        <f>VLOOKUP(C3,VTT!$C$3:$K$47,9,FALSE)</f>
        <v>3</v>
      </c>
      <c r="E3" s="177"/>
      <c r="F3" s="178">
        <f>VLOOKUP(C3,VTT!$C$3:$K$47,2,FALSE)</f>
        <v>23</v>
      </c>
      <c r="G3" s="179"/>
      <c r="H3" s="180">
        <f>VLOOKUP(C3,'Course Obstacle'!$C$3:$P$47,14,FALSE)</f>
        <v>2</v>
      </c>
      <c r="I3" s="181"/>
      <c r="J3" s="182">
        <f>VLOOKUP(C3,'Course Obstacle'!$C$3:$P$47,11,FALSE)</f>
        <v>29.44649446494465</v>
      </c>
      <c r="K3" s="183"/>
      <c r="L3" s="184">
        <f>VLOOKUP(C3,'Lancer Précision'!$C$3:$H$47,6,FALSE)</f>
        <v>1</v>
      </c>
      <c r="M3" s="185"/>
      <c r="N3" s="186">
        <f>VLOOKUP(C3,'Lancer Précision'!$C$3:$H$47,3,FALSE)</f>
        <v>28</v>
      </c>
      <c r="O3" s="187"/>
      <c r="P3" s="188">
        <f>VLOOKUP(C3,'Saut à 2'!$C$3:$P$47,14,FALSE)</f>
        <v>1</v>
      </c>
      <c r="Q3" s="189"/>
      <c r="R3" s="190">
        <f>VLOOKUP(C3,'Saut à 2'!$C$3:$P$47,11,FALSE)</f>
        <v>30</v>
      </c>
      <c r="S3" s="191"/>
      <c r="T3" s="192">
        <f>VLOOKUP(C3,'Parcours Flamme'!$C$3:$P$47,14,FALSE)</f>
        <v>6</v>
      </c>
      <c r="U3" s="193"/>
      <c r="V3" s="194">
        <f>VLOOKUP(C3,'Parcours Flamme'!$C$3:$P$47,11,FALSE)</f>
        <v>19.18181818181818</v>
      </c>
      <c r="W3" s="193"/>
      <c r="X3" s="195">
        <f>SUM(F3,J3,N3,R3,V3)</f>
        <v>129.62831264676282</v>
      </c>
      <c r="Y3" s="196">
        <f aca="true" t="shared" si="0" ref="Y3:Y29">IF(X3&gt;0,RANK(X3,$X$3:$X$47,0),"")</f>
        <v>1</v>
      </c>
      <c r="AA3" s="55" t="str">
        <f>D2</f>
        <v>VTT</v>
      </c>
    </row>
    <row r="4" spans="1:27" ht="12.75">
      <c r="A4" s="130">
        <v>2</v>
      </c>
      <c r="B4" s="33">
        <f aca="true" t="shared" si="1" ref="B4:B48">Y4</f>
        <v>7</v>
      </c>
      <c r="C4" s="241" t="str">
        <f>VLOOKUP($A4,Inscription!$B$3:$I$137,2)</f>
        <v>Tigres Rouges</v>
      </c>
      <c r="D4" s="197">
        <f>VLOOKUP(C4,VTT!$C$3:$K$47,9,FALSE)</f>
        <v>11</v>
      </c>
      <c r="E4" s="198"/>
      <c r="F4" s="199">
        <f>VLOOKUP(C4,VTT!$C$3:$K$47,2,FALSE)</f>
        <v>19</v>
      </c>
      <c r="G4" s="200"/>
      <c r="H4" s="201">
        <f>VLOOKUP(C4,'Course Obstacle'!$C$3:$P$47,14,FALSE)</f>
        <v>12</v>
      </c>
      <c r="I4" s="202"/>
      <c r="J4" s="203">
        <f>VLOOKUP(C4,'Course Obstacle'!$C$3:$P$47,11,FALSE)</f>
        <v>22.9971181556196</v>
      </c>
      <c r="K4" s="204"/>
      <c r="L4" s="205">
        <f>VLOOKUP(C4,'Lancer Précision'!$C$3:$H$47,6,FALSE)</f>
        <v>7</v>
      </c>
      <c r="M4" s="206"/>
      <c r="N4" s="207">
        <f>VLOOKUP(C4,'Lancer Précision'!$C$3:$H$47,3,FALSE)</f>
        <v>24</v>
      </c>
      <c r="O4" s="208"/>
      <c r="P4" s="209">
        <f>VLOOKUP(C4,'Saut à 2'!$C$3:$P$47,14,FALSE)</f>
        <v>12</v>
      </c>
      <c r="Q4" s="210"/>
      <c r="R4" s="211">
        <f>VLOOKUP(C4,'Saut à 2'!$C$3:$P$47,11,FALSE)</f>
        <v>21.94029850746269</v>
      </c>
      <c r="S4" s="212"/>
      <c r="T4" s="213">
        <f>VLOOKUP(C4,'Parcours Flamme'!$C$3:$P$47,14,FALSE)</f>
        <v>3</v>
      </c>
      <c r="U4" s="214"/>
      <c r="V4" s="215">
        <f>VLOOKUP(C4,'Parcours Flamme'!$C$3:$P$47,11,FALSE)</f>
        <v>24.25287356321839</v>
      </c>
      <c r="W4" s="214"/>
      <c r="X4" s="216">
        <f aca="true" t="shared" si="2" ref="X4:X47">SUM(F4,J4,N4,R4,V4)</f>
        <v>112.19029022630068</v>
      </c>
      <c r="Y4" s="217">
        <f t="shared" si="0"/>
        <v>7</v>
      </c>
      <c r="AA4" s="314" t="str">
        <f>VLOOKUP(SMALL($E$48:$E$55,1),$E$48:$F$55,2,FALSE)</f>
        <v>Bleus</v>
      </c>
    </row>
    <row r="5" spans="1:27" ht="12.75">
      <c r="A5" s="130">
        <v>3</v>
      </c>
      <c r="B5" s="33">
        <f t="shared" si="1"/>
        <v>4</v>
      </c>
      <c r="C5" s="241" t="str">
        <f>VLOOKUP($A5,Inscription!$B$3:$I$137,2)</f>
        <v>Bleus</v>
      </c>
      <c r="D5" s="197">
        <f>VLOOKUP(C5,VTT!$C$3:$K$47,9,FALSE)</f>
        <v>1</v>
      </c>
      <c r="E5" s="198"/>
      <c r="F5" s="199">
        <f>VLOOKUP(C5,VTT!$C$3:$K$47,2,FALSE)</f>
        <v>26</v>
      </c>
      <c r="G5" s="200"/>
      <c r="H5" s="201">
        <f>VLOOKUP(C5,'Course Obstacle'!$C$3:$P$47,14,FALSE)</f>
        <v>5</v>
      </c>
      <c r="I5" s="202"/>
      <c r="J5" s="203">
        <f>VLOOKUP(C5,'Course Obstacle'!$C$3:$P$47,11,FALSE)</f>
        <v>26.6</v>
      </c>
      <c r="K5" s="204"/>
      <c r="L5" s="205">
        <f>VLOOKUP(C5,'Lancer Précision'!$C$3:$H$47,6,FALSE)</f>
        <v>6</v>
      </c>
      <c r="M5" s="206"/>
      <c r="N5" s="207">
        <f>VLOOKUP(C5,'Lancer Précision'!$C$3:$H$47,3,FALSE)</f>
        <v>25</v>
      </c>
      <c r="O5" s="208"/>
      <c r="P5" s="209">
        <f>VLOOKUP(C5,'Saut à 2'!$C$3:$P$47,14,FALSE)</f>
        <v>6</v>
      </c>
      <c r="Q5" s="210"/>
      <c r="R5" s="211">
        <f>VLOOKUP(C5,'Saut à 2'!$C$3:$P$47,11,FALSE)</f>
        <v>23.22537313432836</v>
      </c>
      <c r="S5" s="212"/>
      <c r="T5" s="213">
        <f>VLOOKUP(C5,'Parcours Flamme'!$C$3:$P$47,14,FALSE)</f>
        <v>4</v>
      </c>
      <c r="U5" s="214"/>
      <c r="V5" s="215">
        <f>VLOOKUP(C5,'Parcours Flamme'!$C$3:$P$47,11,FALSE)</f>
        <v>22.68430034129693</v>
      </c>
      <c r="W5" s="214"/>
      <c r="X5" s="216">
        <f t="shared" si="2"/>
        <v>123.50967347562529</v>
      </c>
      <c r="Y5" s="217">
        <f t="shared" si="0"/>
        <v>4</v>
      </c>
      <c r="AA5" s="314"/>
    </row>
    <row r="6" spans="1:27" ht="12.75">
      <c r="A6" s="130">
        <v>4</v>
      </c>
      <c r="B6" s="33">
        <f t="shared" si="1"/>
        <v>15</v>
      </c>
      <c r="C6" s="241" t="str">
        <f>VLOOKUP($A6,Inscription!$B$3:$I$137,2)</f>
        <v>Jumaé</v>
      </c>
      <c r="D6" s="197">
        <f>VLOOKUP(C6,VTT!$C$3:$K$47,9,FALSE)</f>
        <v>14</v>
      </c>
      <c r="E6" s="198"/>
      <c r="F6" s="199">
        <f>VLOOKUP(C6,VTT!$C$3:$K$47,2,FALSE)</f>
        <v>17</v>
      </c>
      <c r="G6" s="200"/>
      <c r="H6" s="201">
        <f>VLOOKUP(C6,'Course Obstacle'!$C$3:$P$47,14,FALSE)</f>
        <v>18</v>
      </c>
      <c r="I6" s="202"/>
      <c r="J6" s="203">
        <f>VLOOKUP(C6,'Course Obstacle'!$C$3:$P$47,11,FALSE)</f>
        <v>18.578713968957874</v>
      </c>
      <c r="K6" s="204"/>
      <c r="L6" s="205">
        <f>VLOOKUP(C6,'Lancer Précision'!$C$3:$H$47,6,FALSE)</f>
        <v>2</v>
      </c>
      <c r="M6" s="206"/>
      <c r="N6" s="207">
        <f>VLOOKUP(C6,'Lancer Précision'!$C$3:$H$47,3,FALSE)</f>
        <v>27</v>
      </c>
      <c r="O6" s="208"/>
      <c r="P6" s="209">
        <f>VLOOKUP(C6,'Saut à 2'!$C$3:$P$47,14,FALSE)</f>
        <v>16</v>
      </c>
      <c r="Q6" s="210"/>
      <c r="R6" s="211">
        <f>VLOOKUP(C6,'Saut à 2'!$C$3:$P$47,11,FALSE)</f>
        <v>19.74626865671642</v>
      </c>
      <c r="S6" s="212"/>
      <c r="T6" s="213">
        <f>VLOOKUP(C6,'Parcours Flamme'!$C$3:$P$47,14,FALSE)</f>
        <v>14</v>
      </c>
      <c r="U6" s="214"/>
      <c r="V6" s="215">
        <f>VLOOKUP(C6,'Parcours Flamme'!$C$3:$P$47,11,FALSE)</f>
        <v>15.565573770491802</v>
      </c>
      <c r="W6" s="214"/>
      <c r="X6" s="216">
        <f t="shared" si="2"/>
        <v>97.89055639616609</v>
      </c>
      <c r="Y6" s="217">
        <f t="shared" si="0"/>
        <v>15</v>
      </c>
      <c r="AA6" s="52" t="str">
        <f>H2</f>
        <v>Course Obstacle</v>
      </c>
    </row>
    <row r="7" spans="1:27" ht="12.75">
      <c r="A7" s="130">
        <v>5</v>
      </c>
      <c r="B7" s="33">
        <f t="shared" si="1"/>
        <v>12</v>
      </c>
      <c r="C7" s="241" t="str">
        <f>VLOOKUP($A7,Inscription!$B$3:$I$137,2)</f>
        <v>Toufou</v>
      </c>
      <c r="D7" s="197">
        <f>VLOOKUP(C7,VTT!$C$3:$K$47,9,FALSE)</f>
        <v>10</v>
      </c>
      <c r="E7" s="198"/>
      <c r="F7" s="199">
        <f>VLOOKUP(C7,VTT!$C$3:$K$47,2,FALSE)</f>
        <v>21</v>
      </c>
      <c r="G7" s="200"/>
      <c r="H7" s="201">
        <f>VLOOKUP(C7,'Course Obstacle'!$C$3:$P$47,14,FALSE)</f>
        <v>10</v>
      </c>
      <c r="I7" s="202"/>
      <c r="J7" s="203">
        <f>VLOOKUP(C7,'Course Obstacle'!$C$3:$P$47,11,FALSE)</f>
        <v>23.679525222551927</v>
      </c>
      <c r="K7" s="204"/>
      <c r="L7" s="205">
        <f>VLOOKUP(C7,'Lancer Précision'!$C$3:$H$47,6,FALSE)</f>
        <v>17</v>
      </c>
      <c r="M7" s="206"/>
      <c r="N7" s="207">
        <f>VLOOKUP(C7,'Lancer Précision'!$C$3:$H$47,3,FALSE)</f>
        <v>19</v>
      </c>
      <c r="O7" s="208"/>
      <c r="P7" s="209">
        <f>VLOOKUP(C7,'Saut à 2'!$C$3:$P$47,14,FALSE)</f>
        <v>18</v>
      </c>
      <c r="Q7" s="210"/>
      <c r="R7" s="211">
        <f>VLOOKUP(C7,'Saut à 2'!$C$3:$P$47,11,FALSE)</f>
        <v>19.253731343283583</v>
      </c>
      <c r="S7" s="212"/>
      <c r="T7" s="213">
        <f>VLOOKUP(C7,'Parcours Flamme'!$C$3:$P$47,14,FALSE)</f>
        <v>8</v>
      </c>
      <c r="U7" s="214"/>
      <c r="V7" s="215">
        <f>VLOOKUP(C7,'Parcours Flamme'!$C$3:$P$47,11,FALSE)</f>
        <v>18.783382789317507</v>
      </c>
      <c r="W7" s="214"/>
      <c r="X7" s="216">
        <f t="shared" si="2"/>
        <v>101.716639355153</v>
      </c>
      <c r="Y7" s="217">
        <f t="shared" si="0"/>
        <v>12</v>
      </c>
      <c r="AA7" s="333" t="str">
        <f>VLOOKUP(SMALL($I$48:$I$55,1),$I$48:$J$55,2,FALSE)</f>
        <v>Footballeurs</v>
      </c>
    </row>
    <row r="8" spans="1:27" ht="12.75">
      <c r="A8" s="130">
        <v>6</v>
      </c>
      <c r="B8" s="33">
        <f t="shared" si="1"/>
      </c>
      <c r="C8" s="241" t="str">
        <f>VLOOKUP($A8,Inscription!$B$3:$I$137,2)</f>
        <v>Annulé</v>
      </c>
      <c r="D8" s="197">
        <f>VLOOKUP(C8,VTT!$C$3:$K$47,9,FALSE)</f>
      </c>
      <c r="E8" s="198"/>
      <c r="F8" s="199">
        <f>VLOOKUP(C8,VTT!$C$3:$K$47,2,FALSE)</f>
        <v>0</v>
      </c>
      <c r="G8" s="200"/>
      <c r="H8" s="201">
        <f>VLOOKUP(C8,'Course Obstacle'!$C$3:$P$47,14,FALSE)</f>
      </c>
      <c r="I8" s="202"/>
      <c r="J8" s="203">
        <f>VLOOKUP(C8,'Course Obstacle'!$C$3:$P$47,11,FALSE)</f>
      </c>
      <c r="K8" s="204"/>
      <c r="L8" s="205">
        <f>VLOOKUP(C8,'Lancer Précision'!$C$3:$H$47,6,FALSE)</f>
      </c>
      <c r="M8" s="206"/>
      <c r="N8" s="207">
        <f>VLOOKUP(C8,'Lancer Précision'!$C$3:$H$47,3,FALSE)</f>
      </c>
      <c r="O8" s="208"/>
      <c r="P8" s="209">
        <f>VLOOKUP(C8,'Saut à 2'!$C$3:$P$47,14,FALSE)</f>
      </c>
      <c r="Q8" s="210"/>
      <c r="R8" s="211">
        <f>VLOOKUP(C8,'Saut à 2'!$C$3:$P$47,11,FALSE)</f>
      </c>
      <c r="S8" s="212"/>
      <c r="T8" s="213">
        <f>VLOOKUP(C8,'Parcours Flamme'!$C$3:$P$47,14,FALSE)</f>
      </c>
      <c r="U8" s="214"/>
      <c r="V8" s="215">
        <f>VLOOKUP(C8,'Parcours Flamme'!$C$3:$P$47,11,FALSE)</f>
      </c>
      <c r="W8" s="214"/>
      <c r="X8" s="216">
        <f t="shared" si="2"/>
        <v>0</v>
      </c>
      <c r="Y8" s="217">
        <f t="shared" si="0"/>
      </c>
      <c r="AA8" s="333"/>
    </row>
    <row r="9" spans="1:27" ht="12.75">
      <c r="A9" s="130">
        <v>7</v>
      </c>
      <c r="B9" s="33">
        <f t="shared" si="1"/>
        <v>13</v>
      </c>
      <c r="C9" s="241" t="str">
        <f>VLOOKUP($A9,Inscription!$B$3:$I$137,2)</f>
        <v>Saumons</v>
      </c>
      <c r="D9" s="197">
        <f>VLOOKUP(C9,VTT!$C$3:$K$47,9,FALSE)</f>
        <v>6</v>
      </c>
      <c r="E9" s="198"/>
      <c r="F9" s="199">
        <f>VLOOKUP(C9,VTT!$C$3:$K$47,2,FALSE)</f>
        <v>21</v>
      </c>
      <c r="G9" s="200"/>
      <c r="H9" s="201">
        <f>VLOOKUP(C9,'Course Obstacle'!$C$3:$P$47,14,FALSE)</f>
        <v>15</v>
      </c>
      <c r="I9" s="202"/>
      <c r="J9" s="203">
        <f>VLOOKUP(C9,'Course Obstacle'!$C$3:$P$47,11,FALSE)</f>
        <v>22.290502793296092</v>
      </c>
      <c r="K9" s="204"/>
      <c r="L9" s="205">
        <f>VLOOKUP(C9,'Lancer Précision'!$C$3:$H$47,6,FALSE)</f>
        <v>18</v>
      </c>
      <c r="M9" s="206"/>
      <c r="N9" s="207">
        <f>VLOOKUP(C9,'Lancer Précision'!$C$3:$H$47,3,FALSE)</f>
        <v>16</v>
      </c>
      <c r="O9" s="208"/>
      <c r="P9" s="209">
        <f>VLOOKUP(C9,'Saut à 2'!$C$3:$P$47,14,FALSE)</f>
        <v>8</v>
      </c>
      <c r="Q9" s="210"/>
      <c r="R9" s="211">
        <f>VLOOKUP(C9,'Saut à 2'!$C$3:$P$47,11,FALSE)</f>
        <v>22.83582089552239</v>
      </c>
      <c r="S9" s="212"/>
      <c r="T9" s="213">
        <f>VLOOKUP(C9,'Parcours Flamme'!$C$3:$P$47,14,FALSE)</f>
        <v>10</v>
      </c>
      <c r="U9" s="214"/>
      <c r="V9" s="215">
        <f>VLOOKUP(C9,'Parcours Flamme'!$C$3:$P$47,11,FALSE)</f>
        <v>17.780898876404496</v>
      </c>
      <c r="W9" s="214"/>
      <c r="X9" s="216">
        <f t="shared" si="2"/>
        <v>99.90722256522297</v>
      </c>
      <c r="Y9" s="217">
        <f t="shared" si="0"/>
        <v>13</v>
      </c>
      <c r="AA9" s="53" t="s">
        <v>33</v>
      </c>
    </row>
    <row r="10" spans="1:27" ht="12.75">
      <c r="A10" s="130">
        <v>8</v>
      </c>
      <c r="B10" s="33">
        <f t="shared" si="1"/>
        <v>18</v>
      </c>
      <c r="C10" s="241" t="str">
        <f>VLOOKUP($A10,Inscription!$B$3:$I$137,2)</f>
        <v>Jaguars</v>
      </c>
      <c r="D10" s="197">
        <f>VLOOKUP(C10,VTT!$C$3:$K$47,9,FALSE)</f>
        <v>18</v>
      </c>
      <c r="E10" s="198"/>
      <c r="F10" s="199">
        <f>VLOOKUP(C10,VTT!$C$3:$K$47,2,FALSE)</f>
        <v>13</v>
      </c>
      <c r="G10" s="200"/>
      <c r="H10" s="201">
        <f>VLOOKUP(C10,'Course Obstacle'!$C$3:$P$47,14,FALSE)</f>
        <v>16</v>
      </c>
      <c r="I10" s="202"/>
      <c r="J10" s="203">
        <f>VLOOKUP(C10,'Course Obstacle'!$C$3:$P$47,11,FALSE)</f>
        <v>21.76363636363637</v>
      </c>
      <c r="K10" s="204"/>
      <c r="L10" s="205">
        <f>VLOOKUP(C10,'Lancer Précision'!$C$3:$H$47,6,FALSE)</f>
        <v>14</v>
      </c>
      <c r="M10" s="206"/>
      <c r="N10" s="207">
        <f>VLOOKUP(C10,'Lancer Précision'!$C$3:$H$47,3,FALSE)</f>
        <v>19</v>
      </c>
      <c r="O10" s="208"/>
      <c r="P10" s="209">
        <f>VLOOKUP(C10,'Saut à 2'!$C$3:$P$47,14,FALSE)</f>
        <v>15</v>
      </c>
      <c r="Q10" s="210"/>
      <c r="R10" s="211">
        <f>VLOOKUP(C10,'Saut à 2'!$C$3:$P$47,11,FALSE)</f>
        <v>19.74626865671642</v>
      </c>
      <c r="S10" s="212"/>
      <c r="T10" s="213">
        <f>VLOOKUP(C10,'Parcours Flamme'!$C$3:$P$47,14,FALSE)</f>
        <v>13</v>
      </c>
      <c r="U10" s="214"/>
      <c r="V10" s="215">
        <f>VLOOKUP(C10,'Parcours Flamme'!$C$3:$P$47,11,FALSE)</f>
        <v>16.69974874371859</v>
      </c>
      <c r="W10" s="214"/>
      <c r="X10" s="216">
        <f t="shared" si="2"/>
        <v>90.20965376407138</v>
      </c>
      <c r="Y10" s="217">
        <f t="shared" si="0"/>
        <v>18</v>
      </c>
      <c r="AA10" s="334" t="str">
        <f>VLOOKUP(SMALL($M$48:$M$55,1),$M$48:$N$55,2,FALSE)</f>
        <v>Jumaé</v>
      </c>
    </row>
    <row r="11" spans="1:27" ht="12.75">
      <c r="A11" s="130">
        <v>9</v>
      </c>
      <c r="B11" s="33">
        <f t="shared" si="1"/>
        <v>6</v>
      </c>
      <c r="C11" s="241" t="str">
        <f>VLOOKUP($A11,Inscription!$B$3:$I$137,2)</f>
        <v>Footballeurs</v>
      </c>
      <c r="D11" s="197">
        <f>VLOOKUP(C11,VTT!$C$3:$K$47,9,FALSE)</f>
        <v>8</v>
      </c>
      <c r="E11" s="198"/>
      <c r="F11" s="199">
        <f>VLOOKUP(C11,VTT!$C$3:$K$47,2,FALSE)</f>
        <v>20</v>
      </c>
      <c r="G11" s="200"/>
      <c r="H11" s="201">
        <f>VLOOKUP(C11,'Course Obstacle'!$C$3:$P$47,14,FALSE)</f>
        <v>3</v>
      </c>
      <c r="I11" s="202"/>
      <c r="J11" s="203">
        <f>VLOOKUP(C11,'Course Obstacle'!$C$3:$P$47,11,FALSE)</f>
        <v>28.500000000000004</v>
      </c>
      <c r="K11" s="204"/>
      <c r="L11" s="205">
        <f>VLOOKUP(C11,'Lancer Précision'!$C$3:$H$47,6,FALSE)</f>
        <v>13</v>
      </c>
      <c r="M11" s="206"/>
      <c r="N11" s="207">
        <f>VLOOKUP(C11,'Lancer Précision'!$C$3:$H$47,3,FALSE)</f>
        <v>20</v>
      </c>
      <c r="O11" s="208"/>
      <c r="P11" s="209">
        <f>VLOOKUP(C11,'Saut à 2'!$C$3:$P$47,14,FALSE)</f>
        <v>5</v>
      </c>
      <c r="Q11" s="210"/>
      <c r="R11" s="211">
        <f>VLOOKUP(C11,'Saut à 2'!$C$3:$P$47,11,FALSE)</f>
        <v>23.507462686567166</v>
      </c>
      <c r="S11" s="212"/>
      <c r="T11" s="213">
        <f>VLOOKUP(C11,'Parcours Flamme'!$C$3:$P$47,14,FALSE)</f>
        <v>5</v>
      </c>
      <c r="U11" s="214"/>
      <c r="V11" s="215">
        <f>VLOOKUP(C11,'Parcours Flamme'!$C$3:$P$47,11,FALSE)</f>
        <v>21.863486842105264</v>
      </c>
      <c r="W11" s="214"/>
      <c r="X11" s="216">
        <f t="shared" si="2"/>
        <v>113.87094952867243</v>
      </c>
      <c r="Y11" s="217">
        <f t="shared" si="0"/>
        <v>6</v>
      </c>
      <c r="AA11" s="334"/>
    </row>
    <row r="12" spans="1:27" ht="12.75">
      <c r="A12" s="130">
        <v>10</v>
      </c>
      <c r="B12" s="33">
        <f t="shared" si="1"/>
        <v>14</v>
      </c>
      <c r="C12" s="241" t="str">
        <f>VLOOKUP($A12,Inscription!$B$3:$I$137,2)</f>
        <v>Big Boss</v>
      </c>
      <c r="D12" s="197">
        <f>VLOOKUP(C12,VTT!$C$3:$K$47,9,FALSE)</f>
        <v>15</v>
      </c>
      <c r="E12" s="198"/>
      <c r="F12" s="199">
        <f>VLOOKUP(C12,VTT!$C$3:$K$47,2,FALSE)</f>
        <v>17</v>
      </c>
      <c r="G12" s="200"/>
      <c r="H12" s="201">
        <f>VLOOKUP(C12,'Course Obstacle'!$C$3:$P$47,14,FALSE)</f>
        <v>11</v>
      </c>
      <c r="I12" s="202"/>
      <c r="J12" s="203">
        <f>VLOOKUP(C12,'Course Obstacle'!$C$3:$P$47,11,FALSE)</f>
        <v>23.063583815028903</v>
      </c>
      <c r="K12" s="204"/>
      <c r="L12" s="205">
        <f>VLOOKUP(C12,'Lancer Précision'!$C$3:$H$47,6,FALSE)</f>
        <v>3</v>
      </c>
      <c r="M12" s="206"/>
      <c r="N12" s="207">
        <f>VLOOKUP(C12,'Lancer Précision'!$C$3:$H$47,3,FALSE)</f>
        <v>26</v>
      </c>
      <c r="O12" s="208"/>
      <c r="P12" s="209">
        <f>VLOOKUP(C12,'Saut à 2'!$C$3:$P$47,14,FALSE)</f>
        <v>13</v>
      </c>
      <c r="Q12" s="210"/>
      <c r="R12" s="211">
        <f>VLOOKUP(C12,'Saut à 2'!$C$3:$P$47,11,FALSE)</f>
        <v>21.76119402985075</v>
      </c>
      <c r="S12" s="212"/>
      <c r="T12" s="213">
        <f>VLOOKUP(C12,'Parcours Flamme'!$C$3:$P$47,14,FALSE)</f>
        <v>18</v>
      </c>
      <c r="U12" s="214"/>
      <c r="V12" s="215">
        <f>VLOOKUP(C12,'Parcours Flamme'!$C$3:$P$47,11,FALSE)</f>
        <v>10.079617834394904</v>
      </c>
      <c r="W12" s="214"/>
      <c r="X12" s="216">
        <f t="shared" si="2"/>
        <v>97.90439567927457</v>
      </c>
      <c r="Y12" s="217">
        <f t="shared" si="0"/>
        <v>14</v>
      </c>
      <c r="AA12" s="54" t="s">
        <v>29</v>
      </c>
    </row>
    <row r="13" spans="1:27" ht="12.75">
      <c r="A13" s="130">
        <v>11</v>
      </c>
      <c r="B13" s="33">
        <f t="shared" si="1"/>
        <v>16</v>
      </c>
      <c r="C13" s="241" t="str">
        <f>VLOOKUP($A13,Inscription!$B$3:$I$137,2)</f>
        <v>Trio</v>
      </c>
      <c r="D13" s="197">
        <f>VLOOKUP(C13,VTT!$C$3:$K$47,9,FALSE)</f>
        <v>17</v>
      </c>
      <c r="E13" s="198"/>
      <c r="F13" s="199">
        <f>VLOOKUP(C13,VTT!$C$3:$K$47,2,FALSE)</f>
        <v>15</v>
      </c>
      <c r="G13" s="200"/>
      <c r="H13" s="201">
        <f>VLOOKUP(C13,'Course Obstacle'!$C$3:$P$47,14,FALSE)</f>
        <v>14</v>
      </c>
      <c r="I13" s="202"/>
      <c r="J13" s="203">
        <f>VLOOKUP(C13,'Course Obstacle'!$C$3:$P$47,11,FALSE)</f>
        <v>22.5241935483871</v>
      </c>
      <c r="K13" s="204"/>
      <c r="L13" s="205">
        <f>VLOOKUP(C13,'Lancer Précision'!$C$3:$H$47,6,FALSE)</f>
        <v>4</v>
      </c>
      <c r="M13" s="206"/>
      <c r="N13" s="207">
        <f>VLOOKUP(C13,'Lancer Précision'!$C$3:$H$47,3,FALSE)</f>
        <v>26</v>
      </c>
      <c r="O13" s="208"/>
      <c r="P13" s="209">
        <f>VLOOKUP(C13,'Saut à 2'!$C$3:$P$47,14,FALSE)</f>
        <v>11</v>
      </c>
      <c r="Q13" s="210"/>
      <c r="R13" s="211">
        <f>VLOOKUP(C13,'Saut à 2'!$C$3:$P$47,11,FALSE)</f>
        <v>22.285074626865672</v>
      </c>
      <c r="S13" s="212"/>
      <c r="T13" s="213">
        <f>VLOOKUP(C13,'Parcours Flamme'!$C$3:$P$47,14,FALSE)</f>
        <v>17</v>
      </c>
      <c r="U13" s="214"/>
      <c r="V13" s="215">
        <f>VLOOKUP(C13,'Parcours Flamme'!$C$3:$P$47,11,FALSE)</f>
        <v>10.789772727272728</v>
      </c>
      <c r="W13" s="214"/>
      <c r="X13" s="216">
        <f t="shared" si="2"/>
        <v>96.59904090252552</v>
      </c>
      <c r="Y13" s="217">
        <f t="shared" si="0"/>
        <v>16</v>
      </c>
      <c r="AA13" s="335" t="str">
        <f>VLOOKUP(SMALL($Q$48:$Q$55,1),$Q$48:$R$55,2,FALSE)</f>
        <v>Ch'tis</v>
      </c>
    </row>
    <row r="14" spans="1:27" ht="12.75">
      <c r="A14" s="130">
        <v>12</v>
      </c>
      <c r="B14" s="33">
        <f t="shared" si="1"/>
        <v>11</v>
      </c>
      <c r="C14" s="241" t="str">
        <f>VLOOKUP($A14,Inscription!$B$3:$I$137,2)</f>
        <v>Cavalières</v>
      </c>
      <c r="D14" s="197">
        <f>VLOOKUP(C14,VTT!$C$3:$K$47,9,FALSE)</f>
        <v>7</v>
      </c>
      <c r="E14" s="198"/>
      <c r="F14" s="199">
        <f>VLOOKUP(C14,VTT!$C$3:$K$47,2,FALSE)</f>
        <v>20</v>
      </c>
      <c r="G14" s="200"/>
      <c r="H14" s="201">
        <f>VLOOKUP(C14,'Course Obstacle'!$C$3:$P$47,14,FALSE)</f>
        <v>8</v>
      </c>
      <c r="I14" s="202"/>
      <c r="J14" s="203">
        <f>VLOOKUP(C14,'Course Obstacle'!$C$3:$P$47,11,FALSE)</f>
        <v>25.162162162162165</v>
      </c>
      <c r="K14" s="204"/>
      <c r="L14" s="205">
        <f>VLOOKUP(C14,'Lancer Précision'!$C$3:$H$47,6,FALSE)</f>
        <v>12</v>
      </c>
      <c r="M14" s="206"/>
      <c r="N14" s="207">
        <f>VLOOKUP(C14,'Lancer Précision'!$C$3:$H$47,3,FALSE)</f>
        <v>20</v>
      </c>
      <c r="O14" s="208"/>
      <c r="P14" s="209">
        <f>VLOOKUP(C14,'Saut à 2'!$C$3:$P$47,14,FALSE)</f>
        <v>7</v>
      </c>
      <c r="Q14" s="210"/>
      <c r="R14" s="211">
        <f>VLOOKUP(C14,'Saut à 2'!$C$3:$P$47,11,FALSE)</f>
        <v>23.037313432835823</v>
      </c>
      <c r="S14" s="212"/>
      <c r="T14" s="213">
        <f>VLOOKUP(C14,'Parcours Flamme'!$C$3:$P$47,14,FALSE)</f>
        <v>15</v>
      </c>
      <c r="U14" s="214"/>
      <c r="V14" s="215">
        <f>VLOOKUP(C14,'Parcours Flamme'!$C$3:$P$47,11,FALSE)</f>
        <v>14.543763676148798</v>
      </c>
      <c r="W14" s="214"/>
      <c r="X14" s="216">
        <f t="shared" si="2"/>
        <v>102.74323927114678</v>
      </c>
      <c r="Y14" s="217">
        <f t="shared" si="0"/>
        <v>11</v>
      </c>
      <c r="AA14" s="335"/>
    </row>
    <row r="15" spans="1:27" ht="12.75">
      <c r="A15" s="130">
        <v>13</v>
      </c>
      <c r="B15" s="33">
        <f t="shared" si="1"/>
        <v>17</v>
      </c>
      <c r="C15" s="241" t="str">
        <f>VLOOKUP($A15,Inscription!$B$3:$I$137,2)</f>
        <v>Aigles Bleus</v>
      </c>
      <c r="D15" s="197">
        <f>VLOOKUP(C15,VTT!$C$3:$K$47,9,FALSE)</f>
        <v>13</v>
      </c>
      <c r="E15" s="198"/>
      <c r="F15" s="199">
        <f>VLOOKUP(C15,VTT!$C$3:$K$47,2,FALSE)</f>
        <v>18</v>
      </c>
      <c r="G15" s="200"/>
      <c r="H15" s="201">
        <f>VLOOKUP(C15,'Course Obstacle'!$C$3:$P$47,14,FALSE)</f>
        <v>17</v>
      </c>
      <c r="I15" s="202"/>
      <c r="J15" s="203">
        <f>VLOOKUP(C15,'Course Obstacle'!$C$3:$P$47,11,FALSE)</f>
        <v>20.357142857142858</v>
      </c>
      <c r="K15" s="204"/>
      <c r="L15" s="205">
        <f>VLOOKUP(C15,'Lancer Précision'!$C$3:$H$47,6,FALSE)</f>
        <v>16</v>
      </c>
      <c r="M15" s="206"/>
      <c r="N15" s="207">
        <f>VLOOKUP(C15,'Lancer Précision'!$C$3:$H$47,3,FALSE)</f>
        <v>19</v>
      </c>
      <c r="O15" s="208"/>
      <c r="P15" s="209">
        <f>VLOOKUP(C15,'Saut à 2'!$C$3:$P$47,14,FALSE)</f>
        <v>14</v>
      </c>
      <c r="Q15" s="210"/>
      <c r="R15" s="211">
        <f>VLOOKUP(C15,'Saut à 2'!$C$3:$P$47,11,FALSE)</f>
        <v>21.492537313432837</v>
      </c>
      <c r="S15" s="212"/>
      <c r="T15" s="213">
        <f>VLOOKUP(C15,'Parcours Flamme'!$C$3:$P$47,14,FALSE)</f>
        <v>12</v>
      </c>
      <c r="U15" s="214"/>
      <c r="V15" s="215">
        <f>VLOOKUP(C15,'Parcours Flamme'!$C$3:$P$47,11,FALSE)</f>
        <v>16.88</v>
      </c>
      <c r="W15" s="214"/>
      <c r="X15" s="216">
        <f t="shared" si="2"/>
        <v>95.72968017057569</v>
      </c>
      <c r="Y15" s="217">
        <f t="shared" si="0"/>
        <v>17</v>
      </c>
      <c r="AA15" s="150" t="s">
        <v>34</v>
      </c>
    </row>
    <row r="16" spans="1:27" ht="12.75">
      <c r="A16" s="130">
        <v>14</v>
      </c>
      <c r="B16" s="33">
        <f t="shared" si="1"/>
        <v>8</v>
      </c>
      <c r="C16" s="241" t="str">
        <f>VLOOKUP($A16,Inscription!$B$3:$I$137,2)</f>
        <v>Flammes Noires</v>
      </c>
      <c r="D16" s="197">
        <f>VLOOKUP(C16,VTT!$C$3:$K$47,9,FALSE)</f>
        <v>16</v>
      </c>
      <c r="E16" s="198"/>
      <c r="F16" s="199">
        <f>VLOOKUP(C16,VTT!$C$3:$K$47,2,FALSE)</f>
        <v>16</v>
      </c>
      <c r="G16" s="200"/>
      <c r="H16" s="201">
        <f>VLOOKUP(C16,'Course Obstacle'!$C$3:$P$47,14,FALSE)</f>
        <v>13</v>
      </c>
      <c r="I16" s="202"/>
      <c r="J16" s="203">
        <f>VLOOKUP(C16,'Course Obstacle'!$C$3:$P$47,11,FALSE)</f>
        <v>22.893442622950822</v>
      </c>
      <c r="K16" s="204"/>
      <c r="L16" s="205">
        <f>VLOOKUP(C16,'Lancer Précision'!$C$3:$H$47,6,FALSE)</f>
        <v>8</v>
      </c>
      <c r="M16" s="206"/>
      <c r="N16" s="207">
        <f>VLOOKUP(C16,'Lancer Précision'!$C$3:$H$47,3,FALSE)</f>
        <v>24</v>
      </c>
      <c r="O16" s="208"/>
      <c r="P16" s="209">
        <f>VLOOKUP(C16,'Saut à 2'!$C$3:$P$47,14,FALSE)</f>
        <v>4</v>
      </c>
      <c r="Q16" s="210"/>
      <c r="R16" s="211">
        <f>VLOOKUP(C16,'Saut à 2'!$C$3:$P$47,11,FALSE)</f>
        <v>25.858208955223883</v>
      </c>
      <c r="S16" s="212"/>
      <c r="T16" s="213">
        <f>VLOOKUP(C16,'Parcours Flamme'!$C$3:$P$47,14,FALSE)</f>
        <v>11</v>
      </c>
      <c r="U16" s="214"/>
      <c r="V16" s="215">
        <f>VLOOKUP(C16,'Parcours Flamme'!$C$3:$P$47,11,FALSE)</f>
        <v>17.583333333333332</v>
      </c>
      <c r="W16" s="214"/>
      <c r="X16" s="216">
        <f t="shared" si="2"/>
        <v>106.33498491150803</v>
      </c>
      <c r="Y16" s="217">
        <f t="shared" si="0"/>
        <v>8</v>
      </c>
      <c r="AA16" s="336" t="str">
        <f>VLOOKUP(SMALL($U$48:$U$55,1),$U$48:$V$55,2,FALSE)</f>
        <v>Tigres Rouges</v>
      </c>
    </row>
    <row r="17" spans="1:27" ht="12.75">
      <c r="A17" s="130">
        <v>15</v>
      </c>
      <c r="B17" s="33">
        <f t="shared" si="1"/>
        <v>5</v>
      </c>
      <c r="C17" s="241" t="str">
        <f>VLOOKUP($A17,Inscription!$B$3:$I$137,2)</f>
        <v>Ch'tis</v>
      </c>
      <c r="D17" s="197">
        <f>VLOOKUP(C17,VTT!$C$3:$K$47,9,FALSE)</f>
        <v>4</v>
      </c>
      <c r="E17" s="198"/>
      <c r="F17" s="199">
        <f>VLOOKUP(C17,VTT!$C$3:$K$47,2,FALSE)</f>
        <v>22</v>
      </c>
      <c r="G17" s="200"/>
      <c r="H17" s="201">
        <f>VLOOKUP(C17,'Course Obstacle'!$C$3:$P$47,14,FALSE)</f>
        <v>4</v>
      </c>
      <c r="I17" s="202"/>
      <c r="J17" s="203">
        <f>VLOOKUP(C17,'Course Obstacle'!$C$3:$P$47,11,FALSE)</f>
        <v>27.612456747404845</v>
      </c>
      <c r="K17" s="204"/>
      <c r="L17" s="205">
        <f>VLOOKUP(C17,'Lancer Précision'!$C$3:$H$47,6,FALSE)</f>
        <v>10</v>
      </c>
      <c r="M17" s="206"/>
      <c r="N17" s="207">
        <f>VLOOKUP(C17,'Lancer Précision'!$C$3:$H$47,3,FALSE)</f>
        <v>22</v>
      </c>
      <c r="O17" s="208"/>
      <c r="P17" s="209">
        <f>VLOOKUP(C17,'Saut à 2'!$C$3:$P$47,14,FALSE)</f>
        <v>2</v>
      </c>
      <c r="Q17" s="210"/>
      <c r="R17" s="211">
        <f>VLOOKUP(C17,'Saut à 2'!$C$3:$P$47,11,FALSE)</f>
        <v>28.208955223880597</v>
      </c>
      <c r="S17" s="212"/>
      <c r="T17" s="213">
        <f>VLOOKUP(C17,'Parcours Flamme'!$C$3:$P$47,14,FALSE)</f>
        <v>9</v>
      </c>
      <c r="U17" s="214"/>
      <c r="V17" s="215">
        <f>VLOOKUP(C17,'Parcours Flamme'!$C$3:$P$47,11,FALSE)</f>
        <v>17.982954545454543</v>
      </c>
      <c r="W17" s="214"/>
      <c r="X17" s="216">
        <f t="shared" si="2"/>
        <v>117.80436651673999</v>
      </c>
      <c r="Y17" s="217">
        <f t="shared" si="0"/>
        <v>5</v>
      </c>
      <c r="AA17" s="336"/>
    </row>
    <row r="18" spans="1:25" ht="12.75">
      <c r="A18" s="130">
        <v>16</v>
      </c>
      <c r="B18" s="33">
        <f t="shared" si="1"/>
        <v>10</v>
      </c>
      <c r="C18" s="241" t="str">
        <f>VLOOKUP($A18,Inscription!$B$3:$I$137,2)</f>
        <v>Best Ones</v>
      </c>
      <c r="D18" s="197">
        <f>VLOOKUP(C18,VTT!$C$3:$K$47,9,FALSE)</f>
        <v>12</v>
      </c>
      <c r="E18" s="198"/>
      <c r="F18" s="199">
        <f>VLOOKUP(C18,VTT!$C$3:$K$47,2,FALSE)</f>
        <v>18</v>
      </c>
      <c r="G18" s="200"/>
      <c r="H18" s="201">
        <f>VLOOKUP(C18,'Course Obstacle'!$C$3:$P$47,14,FALSE)</f>
        <v>9</v>
      </c>
      <c r="I18" s="202"/>
      <c r="J18" s="203">
        <f>VLOOKUP(C18,'Course Obstacle'!$C$3:$P$47,11,FALSE)</f>
        <v>24.71681415929204</v>
      </c>
      <c r="K18" s="204"/>
      <c r="L18" s="205">
        <f>VLOOKUP(C18,'Lancer Précision'!$C$3:$H$47,6,FALSE)</f>
        <v>5</v>
      </c>
      <c r="M18" s="206"/>
      <c r="N18" s="207">
        <f>VLOOKUP(C18,'Lancer Précision'!$C$3:$H$47,3,FALSE)</f>
        <v>25</v>
      </c>
      <c r="O18" s="208"/>
      <c r="P18" s="209">
        <f>VLOOKUP(C18,'Saut à 2'!$C$3:$P$47,14,FALSE)</f>
        <v>9</v>
      </c>
      <c r="Q18" s="210"/>
      <c r="R18" s="211">
        <f>VLOOKUP(C18,'Saut à 2'!$C$3:$P$47,11,FALSE)</f>
        <v>22.56716417910448</v>
      </c>
      <c r="S18" s="212"/>
      <c r="T18" s="213">
        <f>VLOOKUP(C18,'Parcours Flamme'!$C$3:$P$47,14,FALSE)</f>
        <v>16</v>
      </c>
      <c r="U18" s="214"/>
      <c r="V18" s="215">
        <f>VLOOKUP(C18,'Parcours Flamme'!$C$3:$P$47,11,FALSE)</f>
        <v>13.266467065868264</v>
      </c>
      <c r="W18" s="214"/>
      <c r="X18" s="216">
        <f t="shared" si="2"/>
        <v>103.55044540426479</v>
      </c>
      <c r="Y18" s="217">
        <f t="shared" si="0"/>
        <v>10</v>
      </c>
    </row>
    <row r="19" spans="1:25" ht="13.5" thickBot="1">
      <c r="A19" s="130">
        <v>17</v>
      </c>
      <c r="B19" s="33">
        <f t="shared" si="1"/>
        <v>9</v>
      </c>
      <c r="C19" s="241" t="str">
        <f>VLOOKUP($A19,Inscription!$B$3:$I$137,2)</f>
        <v>Tontons flingueurs</v>
      </c>
      <c r="D19" s="197">
        <f>VLOOKUP(C19,VTT!$C$3:$K$47,9,FALSE)</f>
        <v>5</v>
      </c>
      <c r="E19" s="198"/>
      <c r="F19" s="199">
        <f>VLOOKUP(C19,VTT!$C$3:$K$47,2,FALSE)</f>
        <v>21</v>
      </c>
      <c r="G19" s="200"/>
      <c r="H19" s="201">
        <f>VLOOKUP(C19,'Course Obstacle'!$C$3:$P$47,14,FALSE)</f>
        <v>7</v>
      </c>
      <c r="I19" s="202"/>
      <c r="J19" s="203">
        <f>VLOOKUP(C19,'Course Obstacle'!$C$3:$P$47,11,FALSE)</f>
        <v>25.741935483870968</v>
      </c>
      <c r="K19" s="204"/>
      <c r="L19" s="205">
        <f>VLOOKUP(C19,'Lancer Précision'!$C$3:$H$47,6,FALSE)</f>
        <v>11</v>
      </c>
      <c r="M19" s="206"/>
      <c r="N19" s="207">
        <f>VLOOKUP(C19,'Lancer Précision'!$C$3:$H$47,3,FALSE)</f>
        <v>21</v>
      </c>
      <c r="O19" s="208"/>
      <c r="P19" s="209">
        <f>VLOOKUP(C19,'Saut à 2'!$C$3:$P$47,14,FALSE)</f>
        <v>17</v>
      </c>
      <c r="Q19" s="210"/>
      <c r="R19" s="211">
        <f>VLOOKUP(C19,'Saut à 2'!$C$3:$P$47,11,FALSE)</f>
        <v>19.253731343283583</v>
      </c>
      <c r="S19" s="212"/>
      <c r="T19" s="213">
        <f>VLOOKUP(C19,'Parcours Flamme'!$C$3:$P$47,14,FALSE)</f>
        <v>7</v>
      </c>
      <c r="U19" s="214"/>
      <c r="V19" s="215">
        <f>VLOOKUP(C19,'Parcours Flamme'!$C$3:$P$47,11,FALSE)</f>
        <v>18.95209580838323</v>
      </c>
      <c r="W19" s="214"/>
      <c r="X19" s="216">
        <f t="shared" si="2"/>
        <v>105.9477626355378</v>
      </c>
      <c r="Y19" s="217">
        <f t="shared" si="0"/>
        <v>9</v>
      </c>
    </row>
    <row r="20" spans="1:27" ht="13.5" thickTop="1">
      <c r="A20" s="130">
        <v>18</v>
      </c>
      <c r="B20" s="33">
        <f t="shared" si="1"/>
        <v>2</v>
      </c>
      <c r="C20" s="241" t="str">
        <f>VLOOKUP($A20,Inscription!$B$3:$I$137,2)</f>
        <v>Twisters</v>
      </c>
      <c r="D20" s="197">
        <f>VLOOKUP(C20,VTT!$C$3:$K$47,9,FALSE)</f>
        <v>9</v>
      </c>
      <c r="E20" s="198"/>
      <c r="F20" s="199">
        <f>VLOOKUP(C20,VTT!$C$3:$K$47,2,FALSE)</f>
        <v>20</v>
      </c>
      <c r="G20" s="200"/>
      <c r="H20" s="201">
        <f>VLOOKUP(C20,'Course Obstacle'!$C$3:$P$47,14,FALSE)</f>
        <v>6</v>
      </c>
      <c r="I20" s="202"/>
      <c r="J20" s="203">
        <f>VLOOKUP(C20,'Course Obstacle'!$C$3:$P$47,11,FALSE)</f>
        <v>26.10280373831776</v>
      </c>
      <c r="K20" s="204"/>
      <c r="L20" s="205">
        <f>VLOOKUP(C20,'Lancer Précision'!$C$3:$H$47,6,FALSE)</f>
        <v>9</v>
      </c>
      <c r="M20" s="206"/>
      <c r="N20" s="207">
        <f>VLOOKUP(C20,'Lancer Précision'!$C$3:$H$47,3,FALSE)</f>
        <v>24</v>
      </c>
      <c r="O20" s="208"/>
      <c r="P20" s="209">
        <f>VLOOKUP(C20,'Saut à 2'!$C$3:$P$47,14,FALSE)</f>
        <v>3</v>
      </c>
      <c r="Q20" s="210"/>
      <c r="R20" s="211">
        <f>VLOOKUP(C20,'Saut à 2'!$C$3:$P$47,11,FALSE)</f>
        <v>27.832835820895525</v>
      </c>
      <c r="S20" s="212"/>
      <c r="T20" s="213">
        <f>VLOOKUP(C20,'Parcours Flamme'!$C$3:$P$47,14,FALSE)</f>
        <v>2</v>
      </c>
      <c r="U20" s="214"/>
      <c r="V20" s="215">
        <f>VLOOKUP(C20,'Parcours Flamme'!$C$3:$P$47,11,FALSE)</f>
        <v>28.772727272727273</v>
      </c>
      <c r="W20" s="214"/>
      <c r="X20" s="216">
        <f t="shared" si="2"/>
        <v>126.70836683194057</v>
      </c>
      <c r="Y20" s="217">
        <f t="shared" si="0"/>
        <v>2</v>
      </c>
      <c r="AA20" s="56" t="s">
        <v>35</v>
      </c>
    </row>
    <row r="21" spans="1:27" ht="12.75">
      <c r="A21" s="130">
        <v>19</v>
      </c>
      <c r="B21" s="33">
        <f t="shared" si="1"/>
        <v>3</v>
      </c>
      <c r="C21" s="241" t="str">
        <f>VLOOKUP($A21,Inscription!$B$3:$I$137,2)</f>
        <v>Aigles d'or</v>
      </c>
      <c r="D21" s="197">
        <f>VLOOKUP(C21,VTT!$C$3:$K$47,9,FALSE)</f>
        <v>2</v>
      </c>
      <c r="E21" s="198"/>
      <c r="F21" s="199">
        <f>VLOOKUP(C21,VTT!$C$3:$K$47,2,FALSE)</f>
        <v>23</v>
      </c>
      <c r="G21" s="200"/>
      <c r="H21" s="201">
        <f>VLOOKUP(C21,'Course Obstacle'!$C$3:$P$47,14,FALSE)</f>
        <v>1</v>
      </c>
      <c r="I21" s="202"/>
      <c r="J21" s="203">
        <f>VLOOKUP(C21,'Course Obstacle'!$C$3:$P$47,11,FALSE)</f>
        <v>30.000000000000004</v>
      </c>
      <c r="K21" s="204"/>
      <c r="L21" s="205">
        <f>VLOOKUP(C21,'Lancer Précision'!$C$3:$H$47,6,FALSE)</f>
        <v>15</v>
      </c>
      <c r="M21" s="206"/>
      <c r="N21" s="207">
        <f>VLOOKUP(C21,'Lancer Précision'!$C$3:$H$47,3,FALSE)</f>
        <v>19</v>
      </c>
      <c r="O21" s="208"/>
      <c r="P21" s="209">
        <f>VLOOKUP(C21,'Saut à 2'!$C$3:$P$47,14,FALSE)</f>
        <v>10</v>
      </c>
      <c r="Q21" s="210"/>
      <c r="R21" s="211">
        <f>VLOOKUP(C21,'Saut à 2'!$C$3:$P$47,11,FALSE)</f>
        <v>22.388059701492537</v>
      </c>
      <c r="S21" s="212"/>
      <c r="T21" s="213">
        <f>VLOOKUP(C21,'Parcours Flamme'!$C$3:$P$47,14,FALSE)</f>
        <v>1</v>
      </c>
      <c r="U21" s="214"/>
      <c r="V21" s="215">
        <f>VLOOKUP(C21,'Parcours Flamme'!$C$3:$P$47,11,FALSE)</f>
        <v>30</v>
      </c>
      <c r="W21" s="214"/>
      <c r="X21" s="216">
        <f t="shared" si="2"/>
        <v>124.38805970149254</v>
      </c>
      <c r="Y21" s="217">
        <f t="shared" si="0"/>
        <v>3</v>
      </c>
      <c r="AA21" s="339" t="str">
        <f>VLOOKUP(3,B3:Y47,2,FALSE)</f>
        <v>Aigles d'or</v>
      </c>
    </row>
    <row r="22" spans="1:27" ht="13.5" thickBot="1">
      <c r="A22" s="130">
        <v>20</v>
      </c>
      <c r="B22" s="33">
        <f t="shared" si="1"/>
      </c>
      <c r="C22" s="241">
        <f>VLOOKUP($A22,Inscription!$B$3:$I$137,2)</f>
        <v>0</v>
      </c>
      <c r="D22" s="197">
        <f>VLOOKUP(C22,VTT!$C$3:$K$47,9,FALSE)</f>
      </c>
      <c r="E22" s="198"/>
      <c r="F22" s="199">
        <f>VLOOKUP(C22,VTT!$C$3:$K$47,2,FALSE)</f>
        <v>0</v>
      </c>
      <c r="G22" s="200"/>
      <c r="H22" s="201">
        <f>VLOOKUP(C22,'Course Obstacle'!$C$3:$P$47,14,FALSE)</f>
      </c>
      <c r="I22" s="202"/>
      <c r="J22" s="203">
        <f>VLOOKUP(C22,'Course Obstacle'!$C$3:$P$47,11,FALSE)</f>
      </c>
      <c r="K22" s="204"/>
      <c r="L22" s="205">
        <f>VLOOKUP(C22,'Lancer Précision'!$C$3:$H$47,6,FALSE)</f>
      </c>
      <c r="M22" s="206"/>
      <c r="N22" s="207">
        <f>VLOOKUP(C22,'Lancer Précision'!$C$3:$H$47,3,FALSE)</f>
      </c>
      <c r="O22" s="208"/>
      <c r="P22" s="209">
        <f>VLOOKUP(C22,'Saut à 2'!$C$3:$P$47,14,FALSE)</f>
      </c>
      <c r="Q22" s="210"/>
      <c r="R22" s="211">
        <f>VLOOKUP(C22,'Saut à 2'!$C$3:$P$47,11,FALSE)</f>
      </c>
      <c r="S22" s="212"/>
      <c r="T22" s="213">
        <f>VLOOKUP(C22,'Parcours Flamme'!$C$3:$P$47,14,FALSE)</f>
      </c>
      <c r="U22" s="214"/>
      <c r="V22" s="215">
        <f>VLOOKUP(C22,'Parcours Flamme'!$C$3:$P$47,11,FALSE)</f>
      </c>
      <c r="W22" s="214"/>
      <c r="X22" s="216">
        <f t="shared" si="2"/>
        <v>0</v>
      </c>
      <c r="Y22" s="217">
        <f t="shared" si="0"/>
      </c>
      <c r="AA22" s="340"/>
    </row>
    <row r="23" spans="1:27" ht="13.5" thickTop="1">
      <c r="A23" s="130">
        <v>21</v>
      </c>
      <c r="B23" s="33">
        <f t="shared" si="1"/>
      </c>
      <c r="C23" s="241">
        <f>VLOOKUP($A23,Inscription!$B$3:$I$137,2)</f>
        <v>0</v>
      </c>
      <c r="D23" s="197">
        <f>VLOOKUP(C23,VTT!$C$3:$K$47,9,FALSE)</f>
      </c>
      <c r="E23" s="198"/>
      <c r="F23" s="199">
        <f>VLOOKUP(C23,VTT!$C$3:$K$47,2,FALSE)</f>
        <v>0</v>
      </c>
      <c r="G23" s="200"/>
      <c r="H23" s="201">
        <f>VLOOKUP(C23,'Course Obstacle'!$C$3:$P$47,14,FALSE)</f>
      </c>
      <c r="I23" s="202"/>
      <c r="J23" s="203">
        <f>VLOOKUP(C23,'Course Obstacle'!$C$3:$P$47,11,FALSE)</f>
      </c>
      <c r="K23" s="204"/>
      <c r="L23" s="205">
        <f>VLOOKUP(C23,'Lancer Précision'!$C$3:$H$47,6,FALSE)</f>
      </c>
      <c r="M23" s="206"/>
      <c r="N23" s="207">
        <f>VLOOKUP(C23,'Lancer Précision'!$C$3:$H$47,3,FALSE)</f>
      </c>
      <c r="O23" s="208"/>
      <c r="P23" s="209">
        <f>VLOOKUP(C23,'Saut à 2'!$C$3:$P$47,14,FALSE)</f>
      </c>
      <c r="Q23" s="210"/>
      <c r="R23" s="211">
        <f>VLOOKUP(C23,'Saut à 2'!$C$3:$P$47,11,FALSE)</f>
      </c>
      <c r="S23" s="212"/>
      <c r="T23" s="213">
        <f>VLOOKUP(C23,'Parcours Flamme'!$C$3:$P$47,14,FALSE)</f>
      </c>
      <c r="U23" s="214"/>
      <c r="V23" s="215">
        <f>VLOOKUP(C23,'Parcours Flamme'!$C$3:$P$47,11,FALSE)</f>
      </c>
      <c r="W23" s="214"/>
      <c r="X23" s="216">
        <f t="shared" si="2"/>
        <v>0</v>
      </c>
      <c r="Y23" s="217">
        <f t="shared" si="0"/>
      </c>
      <c r="AA23" s="56" t="s">
        <v>36</v>
      </c>
    </row>
    <row r="24" spans="1:27" ht="12.75">
      <c r="A24" s="130">
        <v>22</v>
      </c>
      <c r="B24" s="33">
        <f t="shared" si="1"/>
      </c>
      <c r="C24" s="241">
        <f>VLOOKUP($A24,Inscription!$B$3:$I$137,2)</f>
        <v>0</v>
      </c>
      <c r="D24" s="197">
        <f>VLOOKUP(C24,VTT!$C$3:$K$47,9,FALSE)</f>
      </c>
      <c r="E24" s="198"/>
      <c r="F24" s="199">
        <f>VLOOKUP(C24,VTT!$C$3:$K$47,2,FALSE)</f>
        <v>0</v>
      </c>
      <c r="G24" s="200"/>
      <c r="H24" s="201">
        <f>VLOOKUP(C24,'Course Obstacle'!$C$3:$P$47,14,FALSE)</f>
      </c>
      <c r="I24" s="202"/>
      <c r="J24" s="203">
        <f>VLOOKUP(C24,'Course Obstacle'!$C$3:$P$47,11,FALSE)</f>
      </c>
      <c r="K24" s="204"/>
      <c r="L24" s="205">
        <f>VLOOKUP(C24,'Lancer Précision'!$C$3:$H$47,6,FALSE)</f>
      </c>
      <c r="M24" s="206"/>
      <c r="N24" s="207">
        <f>VLOOKUP(C24,'Lancer Précision'!$C$3:$H$47,3,FALSE)</f>
      </c>
      <c r="O24" s="208"/>
      <c r="P24" s="209">
        <f>VLOOKUP(C24,'Saut à 2'!$C$3:$P$47,14,FALSE)</f>
      </c>
      <c r="Q24" s="210"/>
      <c r="R24" s="211">
        <f>VLOOKUP(C24,'Saut à 2'!$C$3:$P$47,11,FALSE)</f>
      </c>
      <c r="S24" s="212"/>
      <c r="T24" s="213">
        <f>VLOOKUP(C24,'Parcours Flamme'!$C$3:$P$47,14,FALSE)</f>
      </c>
      <c r="U24" s="214"/>
      <c r="V24" s="215">
        <f>VLOOKUP(C24,'Parcours Flamme'!$C$3:$P$47,11,FALSE)</f>
      </c>
      <c r="W24" s="214"/>
      <c r="X24" s="216">
        <f t="shared" si="2"/>
        <v>0</v>
      </c>
      <c r="Y24" s="217">
        <f t="shared" si="0"/>
      </c>
      <c r="AA24" s="341" t="str">
        <f>VLOOKUP(2,B3:Y47,2,FALSE)</f>
        <v>Twisters</v>
      </c>
    </row>
    <row r="25" spans="1:27" ht="13.5" thickBot="1">
      <c r="A25" s="130">
        <v>23</v>
      </c>
      <c r="B25" s="33">
        <f t="shared" si="1"/>
      </c>
      <c r="C25" s="241">
        <f>VLOOKUP($A25,Inscription!$B$3:$I$137,2)</f>
        <v>0</v>
      </c>
      <c r="D25" s="197">
        <f>VLOOKUP(C25,VTT!$C$3:$K$47,9,FALSE)</f>
      </c>
      <c r="E25" s="198"/>
      <c r="F25" s="199">
        <f>VLOOKUP(C25,VTT!$C$3:$K$47,2,FALSE)</f>
        <v>0</v>
      </c>
      <c r="G25" s="200"/>
      <c r="H25" s="201">
        <f>VLOOKUP(C25,'Course Obstacle'!$C$3:$P$47,14,FALSE)</f>
      </c>
      <c r="I25" s="202"/>
      <c r="J25" s="203">
        <f>VLOOKUP(C25,'Course Obstacle'!$C$3:$P$47,11,FALSE)</f>
      </c>
      <c r="K25" s="204"/>
      <c r="L25" s="205">
        <f>VLOOKUP(C25,'Lancer Précision'!$C$3:$H$47,6,FALSE)</f>
      </c>
      <c r="M25" s="206"/>
      <c r="N25" s="207">
        <f>VLOOKUP(C25,'Lancer Précision'!$C$3:$H$47,3,FALSE)</f>
      </c>
      <c r="O25" s="208"/>
      <c r="P25" s="209">
        <f>VLOOKUP(C25,'Saut à 2'!$C$3:$P$47,14,FALSE)</f>
      </c>
      <c r="Q25" s="210"/>
      <c r="R25" s="211">
        <f>VLOOKUP(C25,'Saut à 2'!$C$3:$P$47,11,FALSE)</f>
      </c>
      <c r="S25" s="212"/>
      <c r="T25" s="213">
        <f>VLOOKUP(C25,'Parcours Flamme'!$C$3:$P$47,14,FALSE)</f>
      </c>
      <c r="U25" s="214"/>
      <c r="V25" s="215">
        <f>VLOOKUP(C25,'Parcours Flamme'!$C$3:$P$47,11,FALSE)</f>
      </c>
      <c r="W25" s="214"/>
      <c r="X25" s="216">
        <f t="shared" si="2"/>
        <v>0</v>
      </c>
      <c r="Y25" s="217">
        <f t="shared" si="0"/>
      </c>
      <c r="AA25" s="342"/>
    </row>
    <row r="26" spans="1:27" ht="13.5" thickTop="1">
      <c r="A26" s="130">
        <v>24</v>
      </c>
      <c r="B26" s="33">
        <f t="shared" si="1"/>
      </c>
      <c r="C26" s="241">
        <f>VLOOKUP($A26,Inscription!$B$3:$I$137,2)</f>
        <v>0</v>
      </c>
      <c r="D26" s="197">
        <f>VLOOKUP(C26,VTT!$C$3:$K$47,9,FALSE)</f>
      </c>
      <c r="E26" s="198"/>
      <c r="F26" s="199">
        <f>VLOOKUP(C26,VTT!$C$3:$K$47,2,FALSE)</f>
        <v>0</v>
      </c>
      <c r="G26" s="200"/>
      <c r="H26" s="201">
        <f>VLOOKUP(C26,'Course Obstacle'!$C$3:$P$47,14,FALSE)</f>
      </c>
      <c r="I26" s="202"/>
      <c r="J26" s="203">
        <f>VLOOKUP(C26,'Course Obstacle'!$C$3:$P$47,11,FALSE)</f>
      </c>
      <c r="K26" s="204"/>
      <c r="L26" s="205">
        <f>VLOOKUP(C26,'Lancer Précision'!$C$3:$H$47,6,FALSE)</f>
      </c>
      <c r="M26" s="206"/>
      <c r="N26" s="207">
        <f>VLOOKUP(C26,'Lancer Précision'!$C$3:$H$47,3,FALSE)</f>
      </c>
      <c r="O26" s="208"/>
      <c r="P26" s="209">
        <f>VLOOKUP(C26,'Saut à 2'!$C$3:$P$47,14,FALSE)</f>
      </c>
      <c r="Q26" s="210"/>
      <c r="R26" s="211">
        <f>VLOOKUP(C26,'Saut à 2'!$C$3:$P$47,11,FALSE)</f>
      </c>
      <c r="S26" s="212"/>
      <c r="T26" s="213">
        <f>VLOOKUP(C26,'Parcours Flamme'!$C$3:$P$47,14,FALSE)</f>
      </c>
      <c r="U26" s="214"/>
      <c r="V26" s="215">
        <f>VLOOKUP(C26,'Parcours Flamme'!$C$3:$P$47,11,FALSE)</f>
      </c>
      <c r="W26" s="214"/>
      <c r="X26" s="216">
        <f t="shared" si="2"/>
        <v>0</v>
      </c>
      <c r="Y26" s="217">
        <f t="shared" si="0"/>
      </c>
      <c r="AA26" s="56" t="s">
        <v>37</v>
      </c>
    </row>
    <row r="27" spans="1:27" ht="12.75">
      <c r="A27" s="130">
        <v>25</v>
      </c>
      <c r="B27" s="33">
        <f t="shared" si="1"/>
      </c>
      <c r="C27" s="241">
        <f>VLOOKUP($A27,Inscription!$B$3:$I$137,2)</f>
        <v>0</v>
      </c>
      <c r="D27" s="197">
        <f>VLOOKUP(C27,VTT!$C$3:$K$47,9,FALSE)</f>
      </c>
      <c r="E27" s="198"/>
      <c r="F27" s="199">
        <f>VLOOKUP(C27,VTT!$C$3:$K$47,2,FALSE)</f>
        <v>0</v>
      </c>
      <c r="G27" s="200"/>
      <c r="H27" s="201">
        <f>VLOOKUP(C27,'Course Obstacle'!$C$3:$P$47,14,FALSE)</f>
      </c>
      <c r="I27" s="202"/>
      <c r="J27" s="203">
        <f>VLOOKUP(C27,'Course Obstacle'!$C$3:$P$47,11,FALSE)</f>
      </c>
      <c r="K27" s="204"/>
      <c r="L27" s="205">
        <f>VLOOKUP(C27,'Lancer Précision'!$C$3:$H$47,6,FALSE)</f>
      </c>
      <c r="M27" s="206"/>
      <c r="N27" s="207">
        <f>VLOOKUP(C27,'Lancer Précision'!$C$3:$H$47,3,FALSE)</f>
      </c>
      <c r="O27" s="208"/>
      <c r="P27" s="209">
        <f>VLOOKUP(C27,'Saut à 2'!$C$3:$P$47,14,FALSE)</f>
      </c>
      <c r="Q27" s="210"/>
      <c r="R27" s="211">
        <f>VLOOKUP(C27,'Saut à 2'!$C$3:$P$47,11,FALSE)</f>
      </c>
      <c r="S27" s="212"/>
      <c r="T27" s="213">
        <f>VLOOKUP(C27,'Parcours Flamme'!$C$3:$P$47,14,FALSE)</f>
      </c>
      <c r="U27" s="214"/>
      <c r="V27" s="215">
        <f>VLOOKUP(C27,'Parcours Flamme'!$C$3:$P$47,11,FALSE)</f>
      </c>
      <c r="W27" s="214"/>
      <c r="X27" s="216">
        <f t="shared" si="2"/>
        <v>0</v>
      </c>
      <c r="Y27" s="217">
        <f t="shared" si="0"/>
      </c>
      <c r="AA27" s="337" t="str">
        <f>VLOOKUP(1,B3:Y47,2,FALSE)</f>
        <v>The Tigers</v>
      </c>
    </row>
    <row r="28" spans="1:27" ht="13.5" thickBot="1">
      <c r="A28" s="130">
        <v>26</v>
      </c>
      <c r="B28" s="33">
        <f t="shared" si="1"/>
      </c>
      <c r="C28" s="241">
        <f>VLOOKUP($A28,Inscription!$B$3:$I$137,2)</f>
        <v>0</v>
      </c>
      <c r="D28" s="197">
        <f>VLOOKUP(C28,VTT!$C$3:$K$47,9,FALSE)</f>
      </c>
      <c r="E28" s="198"/>
      <c r="F28" s="199">
        <f>VLOOKUP(C28,VTT!$C$3:$K$47,2,FALSE)</f>
        <v>0</v>
      </c>
      <c r="G28" s="200"/>
      <c r="H28" s="201">
        <f>VLOOKUP(C28,'Course Obstacle'!$C$3:$P$47,14,FALSE)</f>
      </c>
      <c r="I28" s="202"/>
      <c r="J28" s="203">
        <f>VLOOKUP(C28,'Course Obstacle'!$C$3:$P$47,11,FALSE)</f>
      </c>
      <c r="K28" s="204"/>
      <c r="L28" s="205">
        <f>VLOOKUP(C28,'Lancer Précision'!$C$3:$H$47,6,FALSE)</f>
      </c>
      <c r="M28" s="206"/>
      <c r="N28" s="207">
        <f>VLOOKUP(C28,'Lancer Précision'!$C$3:$H$47,3,FALSE)</f>
      </c>
      <c r="O28" s="208"/>
      <c r="P28" s="209">
        <f>VLOOKUP(C28,'Saut à 2'!$C$3:$P$47,14,FALSE)</f>
      </c>
      <c r="Q28" s="210"/>
      <c r="R28" s="211">
        <f>VLOOKUP(C28,'Saut à 2'!$C$3:$P$47,11,FALSE)</f>
      </c>
      <c r="S28" s="212"/>
      <c r="T28" s="213">
        <f>VLOOKUP(C28,'Parcours Flamme'!$C$3:$P$47,14,FALSE)</f>
      </c>
      <c r="U28" s="214"/>
      <c r="V28" s="215">
        <f>VLOOKUP(C28,'Parcours Flamme'!$C$3:$P$47,11,FALSE)</f>
      </c>
      <c r="W28" s="214"/>
      <c r="X28" s="216">
        <f t="shared" si="2"/>
        <v>0</v>
      </c>
      <c r="Y28" s="217">
        <f t="shared" si="0"/>
      </c>
      <c r="AA28" s="338"/>
    </row>
    <row r="29" spans="1:25" ht="13.5" thickTop="1">
      <c r="A29" s="130">
        <v>27</v>
      </c>
      <c r="B29" s="33">
        <f t="shared" si="1"/>
      </c>
      <c r="C29" s="241">
        <f>VLOOKUP($A29,Inscription!$B$3:$I$137,2)</f>
        <v>0</v>
      </c>
      <c r="D29" s="197">
        <f>VLOOKUP(C29,VTT!$C$3:$K$47,9,FALSE)</f>
      </c>
      <c r="E29" s="198"/>
      <c r="F29" s="199">
        <f>VLOOKUP(C29,VTT!$C$3:$K$47,2,FALSE)</f>
        <v>0</v>
      </c>
      <c r="G29" s="200"/>
      <c r="H29" s="201">
        <f>VLOOKUP(C29,'Course Obstacle'!$C$3:$P$47,14,FALSE)</f>
      </c>
      <c r="I29" s="202"/>
      <c r="J29" s="203">
        <f>VLOOKUP(C29,'Course Obstacle'!$C$3:$P$47,11,FALSE)</f>
      </c>
      <c r="K29" s="204"/>
      <c r="L29" s="205">
        <f>VLOOKUP(C29,'Lancer Précision'!$C$3:$H$47,6,FALSE)</f>
      </c>
      <c r="M29" s="206"/>
      <c r="N29" s="207">
        <f>VLOOKUP(C29,'Lancer Précision'!$C$3:$H$47,3,FALSE)</f>
      </c>
      <c r="O29" s="208"/>
      <c r="P29" s="209">
        <f>VLOOKUP(C29,'Saut à 2'!$C$3:$P$47,14,FALSE)</f>
      </c>
      <c r="Q29" s="210"/>
      <c r="R29" s="211">
        <f>VLOOKUP(C29,'Saut à 2'!$C$3:$P$47,11,FALSE)</f>
      </c>
      <c r="S29" s="212"/>
      <c r="T29" s="213">
        <f>VLOOKUP(C29,'Parcours Flamme'!$C$3:$P$47,14,FALSE)</f>
      </c>
      <c r="U29" s="214"/>
      <c r="V29" s="215">
        <f>VLOOKUP(C29,'Parcours Flamme'!$C$3:$P$47,11,FALSE)</f>
      </c>
      <c r="W29" s="214"/>
      <c r="X29" s="216">
        <f t="shared" si="2"/>
        <v>0</v>
      </c>
      <c r="Y29" s="217">
        <f t="shared" si="0"/>
      </c>
    </row>
    <row r="30" spans="1:25" ht="12.75">
      <c r="A30" s="130">
        <v>28</v>
      </c>
      <c r="B30" s="33">
        <f aca="true" t="shared" si="3" ref="B30:B42">Y30</f>
      </c>
      <c r="C30" s="241">
        <f>VLOOKUP($A30,Inscription!$B$3:$I$137,2)</f>
        <v>0</v>
      </c>
      <c r="D30" s="197">
        <f>VLOOKUP(C30,VTT!$C$3:$K$47,9,FALSE)</f>
      </c>
      <c r="E30" s="198"/>
      <c r="F30" s="199">
        <f>VLOOKUP(C30,VTT!$C$3:$K$47,2,FALSE)</f>
        <v>0</v>
      </c>
      <c r="G30" s="200"/>
      <c r="H30" s="201">
        <f>VLOOKUP(C30,'Course Obstacle'!$C$3:$P$47,14,FALSE)</f>
      </c>
      <c r="I30" s="202"/>
      <c r="J30" s="203">
        <f>VLOOKUP(C30,'Course Obstacle'!$C$3:$P$47,11,FALSE)</f>
      </c>
      <c r="K30" s="204"/>
      <c r="L30" s="205">
        <f>VLOOKUP(C30,'Lancer Précision'!$C$3:$H$47,6,FALSE)</f>
      </c>
      <c r="M30" s="206"/>
      <c r="N30" s="207">
        <f>VLOOKUP(C30,'Lancer Précision'!$C$3:$H$47,3,FALSE)</f>
      </c>
      <c r="O30" s="208"/>
      <c r="P30" s="209">
        <f>VLOOKUP(C30,'Saut à 2'!$C$3:$P$47,14,FALSE)</f>
      </c>
      <c r="Q30" s="210"/>
      <c r="R30" s="211">
        <f>VLOOKUP(C30,'Saut à 2'!$C$3:$P$47,11,FALSE)</f>
      </c>
      <c r="S30" s="212"/>
      <c r="T30" s="213">
        <f>VLOOKUP(C30,'Parcours Flamme'!$C$3:$P$47,14,FALSE)</f>
      </c>
      <c r="U30" s="214"/>
      <c r="V30" s="215">
        <f>VLOOKUP(C30,'Parcours Flamme'!$C$3:$P$47,11,FALSE)</f>
      </c>
      <c r="W30" s="214"/>
      <c r="X30" s="216">
        <f aca="true" t="shared" si="4" ref="X30:X42">SUM(F30,J30,N30,R30,V30)</f>
        <v>0</v>
      </c>
      <c r="Y30" s="217">
        <f aca="true" t="shared" si="5" ref="Y30:Y42">IF(X30&gt;0,RANK(X30,$X$3:$X$47,0),"")</f>
      </c>
    </row>
    <row r="31" spans="1:25" ht="12.75">
      <c r="A31" s="130">
        <v>29</v>
      </c>
      <c r="B31" s="33">
        <f t="shared" si="3"/>
      </c>
      <c r="C31" s="241">
        <f>VLOOKUP($A31,Inscription!$B$3:$I$137,2)</f>
        <v>0</v>
      </c>
      <c r="D31" s="197">
        <f>VLOOKUP(C31,VTT!$C$3:$K$47,9,FALSE)</f>
      </c>
      <c r="E31" s="198"/>
      <c r="F31" s="199">
        <f>VLOOKUP(C31,VTT!$C$3:$K$47,2,FALSE)</f>
        <v>0</v>
      </c>
      <c r="G31" s="200"/>
      <c r="H31" s="201">
        <f>VLOOKUP(C31,'Course Obstacle'!$C$3:$P$47,14,FALSE)</f>
      </c>
      <c r="I31" s="202"/>
      <c r="J31" s="203">
        <f>VLOOKUP(C31,'Course Obstacle'!$C$3:$P$47,11,FALSE)</f>
      </c>
      <c r="K31" s="204"/>
      <c r="L31" s="205">
        <f>VLOOKUP(C31,'Lancer Précision'!$C$3:$H$47,6,FALSE)</f>
      </c>
      <c r="M31" s="206"/>
      <c r="N31" s="207">
        <f>VLOOKUP(C31,'Lancer Précision'!$C$3:$H$47,3,FALSE)</f>
      </c>
      <c r="O31" s="208"/>
      <c r="P31" s="209">
        <f>VLOOKUP(C31,'Saut à 2'!$C$3:$P$47,14,FALSE)</f>
      </c>
      <c r="Q31" s="210"/>
      <c r="R31" s="211">
        <f>VLOOKUP(C31,'Saut à 2'!$C$3:$P$47,11,FALSE)</f>
      </c>
      <c r="S31" s="212"/>
      <c r="T31" s="213">
        <f>VLOOKUP(C31,'Parcours Flamme'!$C$3:$P$47,14,FALSE)</f>
      </c>
      <c r="U31" s="214"/>
      <c r="V31" s="215">
        <f>VLOOKUP(C31,'Parcours Flamme'!$C$3:$P$47,11,FALSE)</f>
      </c>
      <c r="W31" s="214"/>
      <c r="X31" s="216">
        <f t="shared" si="4"/>
        <v>0</v>
      </c>
      <c r="Y31" s="217">
        <f t="shared" si="5"/>
      </c>
    </row>
    <row r="32" spans="1:25" ht="12.75">
      <c r="A32" s="130">
        <v>30</v>
      </c>
      <c r="B32" s="33">
        <f t="shared" si="3"/>
      </c>
      <c r="C32" s="241">
        <f>VLOOKUP($A32,Inscription!$B$3:$I$137,2)</f>
        <v>0</v>
      </c>
      <c r="D32" s="197">
        <f>VLOOKUP(C32,VTT!$C$3:$K$47,9,FALSE)</f>
      </c>
      <c r="E32" s="198"/>
      <c r="F32" s="199">
        <f>VLOOKUP(C32,VTT!$C$3:$K$47,2,FALSE)</f>
        <v>0</v>
      </c>
      <c r="G32" s="200"/>
      <c r="H32" s="201">
        <f>VLOOKUP(C32,'Course Obstacle'!$C$3:$P$47,14,FALSE)</f>
      </c>
      <c r="I32" s="202"/>
      <c r="J32" s="203">
        <f>VLOOKUP(C32,'Course Obstacle'!$C$3:$P$47,11,FALSE)</f>
      </c>
      <c r="K32" s="204"/>
      <c r="L32" s="205">
        <f>VLOOKUP(C32,'Lancer Précision'!$C$3:$H$47,6,FALSE)</f>
      </c>
      <c r="M32" s="206"/>
      <c r="N32" s="207">
        <f>VLOOKUP(C32,'Lancer Précision'!$C$3:$H$47,3,FALSE)</f>
      </c>
      <c r="O32" s="208"/>
      <c r="P32" s="209">
        <f>VLOOKUP(C32,'Saut à 2'!$C$3:$P$47,14,FALSE)</f>
      </c>
      <c r="Q32" s="210"/>
      <c r="R32" s="211">
        <f>VLOOKUP(C32,'Saut à 2'!$C$3:$P$47,11,FALSE)</f>
      </c>
      <c r="S32" s="212"/>
      <c r="T32" s="213">
        <f>VLOOKUP(C32,'Parcours Flamme'!$C$3:$P$47,14,FALSE)</f>
      </c>
      <c r="U32" s="214"/>
      <c r="V32" s="215">
        <f>VLOOKUP(C32,'Parcours Flamme'!$C$3:$P$47,11,FALSE)</f>
      </c>
      <c r="W32" s="214"/>
      <c r="X32" s="216">
        <f t="shared" si="4"/>
        <v>0</v>
      </c>
      <c r="Y32" s="217">
        <f t="shared" si="5"/>
      </c>
    </row>
    <row r="33" spans="1:25" ht="12.75">
      <c r="A33" s="130">
        <v>31</v>
      </c>
      <c r="B33" s="33">
        <f t="shared" si="3"/>
      </c>
      <c r="C33" s="241">
        <f>VLOOKUP($A33,Inscription!$B$3:$I$137,2)</f>
        <v>0</v>
      </c>
      <c r="D33" s="197">
        <f>VLOOKUP(C33,VTT!$C$3:$K$47,9,FALSE)</f>
      </c>
      <c r="E33" s="198"/>
      <c r="F33" s="199">
        <f>VLOOKUP(C33,VTT!$C$3:$K$47,2,FALSE)</f>
        <v>0</v>
      </c>
      <c r="G33" s="200"/>
      <c r="H33" s="201">
        <f>VLOOKUP(C33,'Course Obstacle'!$C$3:$P$47,14,FALSE)</f>
      </c>
      <c r="I33" s="202"/>
      <c r="J33" s="203">
        <f>VLOOKUP(C33,'Course Obstacle'!$C$3:$P$47,11,FALSE)</f>
      </c>
      <c r="K33" s="204"/>
      <c r="L33" s="205">
        <f>VLOOKUP(C33,'Lancer Précision'!$C$3:$H$47,6,FALSE)</f>
      </c>
      <c r="M33" s="206"/>
      <c r="N33" s="207">
        <f>VLOOKUP(C33,'Lancer Précision'!$C$3:$H$47,3,FALSE)</f>
      </c>
      <c r="O33" s="208"/>
      <c r="P33" s="209">
        <f>VLOOKUP(C33,'Saut à 2'!$C$3:$P$47,14,FALSE)</f>
      </c>
      <c r="Q33" s="210"/>
      <c r="R33" s="211">
        <f>VLOOKUP(C33,'Saut à 2'!$C$3:$P$47,11,FALSE)</f>
      </c>
      <c r="S33" s="212"/>
      <c r="T33" s="213">
        <f>VLOOKUP(C33,'Parcours Flamme'!$C$3:$P$47,14,FALSE)</f>
      </c>
      <c r="U33" s="214"/>
      <c r="V33" s="215">
        <f>VLOOKUP(C33,'Parcours Flamme'!$C$3:$P$47,11,FALSE)</f>
      </c>
      <c r="W33" s="214"/>
      <c r="X33" s="216">
        <f t="shared" si="4"/>
        <v>0</v>
      </c>
      <c r="Y33" s="217">
        <f t="shared" si="5"/>
      </c>
    </row>
    <row r="34" spans="1:25" ht="12.75">
      <c r="A34" s="130">
        <v>32</v>
      </c>
      <c r="B34" s="33">
        <f t="shared" si="3"/>
      </c>
      <c r="C34" s="241">
        <f>VLOOKUP($A34,Inscription!$B$3:$I$137,2)</f>
        <v>0</v>
      </c>
      <c r="D34" s="197">
        <f>VLOOKUP(C34,VTT!$C$3:$K$47,9,FALSE)</f>
      </c>
      <c r="E34" s="198"/>
      <c r="F34" s="199">
        <f>VLOOKUP(C34,VTT!$C$3:$K$47,2,FALSE)</f>
        <v>0</v>
      </c>
      <c r="G34" s="200"/>
      <c r="H34" s="201">
        <f>VLOOKUP(C34,'Course Obstacle'!$C$3:$P$47,14,FALSE)</f>
      </c>
      <c r="I34" s="202"/>
      <c r="J34" s="203">
        <f>VLOOKUP(C34,'Course Obstacle'!$C$3:$P$47,11,FALSE)</f>
      </c>
      <c r="K34" s="204"/>
      <c r="L34" s="205">
        <f>VLOOKUP(C34,'Lancer Précision'!$C$3:$H$47,6,FALSE)</f>
      </c>
      <c r="M34" s="206"/>
      <c r="N34" s="207">
        <f>VLOOKUP(C34,'Lancer Précision'!$C$3:$H$47,3,FALSE)</f>
      </c>
      <c r="O34" s="208"/>
      <c r="P34" s="209">
        <f>VLOOKUP(C34,'Saut à 2'!$C$3:$P$47,14,FALSE)</f>
      </c>
      <c r="Q34" s="210"/>
      <c r="R34" s="211">
        <f>VLOOKUP(C34,'Saut à 2'!$C$3:$P$47,11,FALSE)</f>
      </c>
      <c r="S34" s="212"/>
      <c r="T34" s="213">
        <f>VLOOKUP(C34,'Parcours Flamme'!$C$3:$P$47,14,FALSE)</f>
      </c>
      <c r="U34" s="214"/>
      <c r="V34" s="215">
        <f>VLOOKUP(C34,'Parcours Flamme'!$C$3:$P$47,11,FALSE)</f>
      </c>
      <c r="W34" s="214"/>
      <c r="X34" s="216">
        <f t="shared" si="4"/>
        <v>0</v>
      </c>
      <c r="Y34" s="217">
        <f t="shared" si="5"/>
      </c>
    </row>
    <row r="35" spans="1:25" ht="12.75">
      <c r="A35" s="130">
        <v>33</v>
      </c>
      <c r="B35" s="33">
        <f t="shared" si="3"/>
      </c>
      <c r="C35" s="241">
        <f>VLOOKUP($A35,Inscription!$B$3:$I$137,2)</f>
        <v>0</v>
      </c>
      <c r="D35" s="197">
        <f>VLOOKUP(C35,VTT!$C$3:$K$47,9,FALSE)</f>
      </c>
      <c r="E35" s="198"/>
      <c r="F35" s="199">
        <f>VLOOKUP(C35,VTT!$C$3:$K$47,2,FALSE)</f>
        <v>0</v>
      </c>
      <c r="G35" s="200"/>
      <c r="H35" s="201">
        <f>VLOOKUP(C35,'Course Obstacle'!$C$3:$P$47,14,FALSE)</f>
      </c>
      <c r="I35" s="202"/>
      <c r="J35" s="203">
        <f>VLOOKUP(C35,'Course Obstacle'!$C$3:$P$47,11,FALSE)</f>
      </c>
      <c r="K35" s="204"/>
      <c r="L35" s="205">
        <f>VLOOKUP(C35,'Lancer Précision'!$C$3:$H$47,6,FALSE)</f>
      </c>
      <c r="M35" s="206"/>
      <c r="N35" s="207">
        <f>VLOOKUP(C35,'Lancer Précision'!$C$3:$H$47,3,FALSE)</f>
      </c>
      <c r="O35" s="208"/>
      <c r="P35" s="209">
        <f>VLOOKUP(C35,'Saut à 2'!$C$3:$P$47,14,FALSE)</f>
      </c>
      <c r="Q35" s="210"/>
      <c r="R35" s="211">
        <f>VLOOKUP(C35,'Saut à 2'!$C$3:$P$47,11,FALSE)</f>
      </c>
      <c r="S35" s="212"/>
      <c r="T35" s="213">
        <f>VLOOKUP(C35,'Parcours Flamme'!$C$3:$P$47,14,FALSE)</f>
      </c>
      <c r="U35" s="214"/>
      <c r="V35" s="215">
        <f>VLOOKUP(C35,'Parcours Flamme'!$C$3:$P$47,11,FALSE)</f>
      </c>
      <c r="W35" s="214"/>
      <c r="X35" s="216">
        <f t="shared" si="4"/>
        <v>0</v>
      </c>
      <c r="Y35" s="217">
        <f t="shared" si="5"/>
      </c>
    </row>
    <row r="36" spans="1:25" ht="12.75">
      <c r="A36" s="130">
        <v>34</v>
      </c>
      <c r="B36" s="33">
        <f t="shared" si="3"/>
      </c>
      <c r="C36" s="241">
        <f>VLOOKUP($A36,Inscription!$B$3:$I$137,2)</f>
        <v>0</v>
      </c>
      <c r="D36" s="197">
        <f>VLOOKUP(C36,VTT!$C$3:$K$47,9,FALSE)</f>
      </c>
      <c r="E36" s="198"/>
      <c r="F36" s="199">
        <f>VLOOKUP(C36,VTT!$C$3:$K$47,2,FALSE)</f>
        <v>0</v>
      </c>
      <c r="G36" s="200"/>
      <c r="H36" s="201">
        <f>VLOOKUP(C36,'Course Obstacle'!$C$3:$P$47,14,FALSE)</f>
      </c>
      <c r="I36" s="202"/>
      <c r="J36" s="203">
        <f>VLOOKUP(C36,'Course Obstacle'!$C$3:$P$47,11,FALSE)</f>
      </c>
      <c r="K36" s="204"/>
      <c r="L36" s="205">
        <f>VLOOKUP(C36,'Lancer Précision'!$C$3:$H$47,6,FALSE)</f>
      </c>
      <c r="M36" s="206"/>
      <c r="N36" s="207">
        <f>VLOOKUP(C36,'Lancer Précision'!$C$3:$H$47,3,FALSE)</f>
      </c>
      <c r="O36" s="208"/>
      <c r="P36" s="209">
        <f>VLOOKUP(C36,'Saut à 2'!$C$3:$P$47,14,FALSE)</f>
      </c>
      <c r="Q36" s="210"/>
      <c r="R36" s="211">
        <f>VLOOKUP(C36,'Saut à 2'!$C$3:$P$47,11,FALSE)</f>
      </c>
      <c r="S36" s="212"/>
      <c r="T36" s="213">
        <f>VLOOKUP(C36,'Parcours Flamme'!$C$3:$P$47,14,FALSE)</f>
      </c>
      <c r="U36" s="214"/>
      <c r="V36" s="215">
        <f>VLOOKUP(C36,'Parcours Flamme'!$C$3:$P$47,11,FALSE)</f>
      </c>
      <c r="W36" s="214"/>
      <c r="X36" s="216">
        <f t="shared" si="4"/>
        <v>0</v>
      </c>
      <c r="Y36" s="217">
        <f t="shared" si="5"/>
      </c>
    </row>
    <row r="37" spans="1:25" ht="12.75">
      <c r="A37" s="130">
        <v>35</v>
      </c>
      <c r="B37" s="33">
        <f t="shared" si="3"/>
      </c>
      <c r="C37" s="241">
        <f>VLOOKUP($A37,Inscription!$B$3:$I$137,2)</f>
        <v>0</v>
      </c>
      <c r="D37" s="197">
        <f>VLOOKUP(C37,VTT!$C$3:$K$47,9,FALSE)</f>
      </c>
      <c r="E37" s="198"/>
      <c r="F37" s="199">
        <f>VLOOKUP(C37,VTT!$C$3:$K$47,2,FALSE)</f>
        <v>0</v>
      </c>
      <c r="G37" s="200"/>
      <c r="H37" s="201">
        <f>VLOOKUP(C37,'Course Obstacle'!$C$3:$P$47,14,FALSE)</f>
      </c>
      <c r="I37" s="202"/>
      <c r="J37" s="203">
        <f>VLOOKUP(C37,'Course Obstacle'!$C$3:$P$47,11,FALSE)</f>
      </c>
      <c r="K37" s="204"/>
      <c r="L37" s="205">
        <f>VLOOKUP(C37,'Lancer Précision'!$C$3:$H$47,6,FALSE)</f>
      </c>
      <c r="M37" s="206"/>
      <c r="N37" s="207">
        <f>VLOOKUP(C37,'Lancer Précision'!$C$3:$H$47,3,FALSE)</f>
      </c>
      <c r="O37" s="208"/>
      <c r="P37" s="209">
        <f>VLOOKUP(C37,'Saut à 2'!$C$3:$P$47,14,FALSE)</f>
      </c>
      <c r="Q37" s="210"/>
      <c r="R37" s="211">
        <f>VLOOKUP(C37,'Saut à 2'!$C$3:$P$47,11,FALSE)</f>
      </c>
      <c r="S37" s="212"/>
      <c r="T37" s="213">
        <f>VLOOKUP(C37,'Parcours Flamme'!$C$3:$P$47,14,FALSE)</f>
      </c>
      <c r="U37" s="214"/>
      <c r="V37" s="215">
        <f>VLOOKUP(C37,'Parcours Flamme'!$C$3:$P$47,11,FALSE)</f>
      </c>
      <c r="W37" s="214"/>
      <c r="X37" s="216">
        <f t="shared" si="4"/>
        <v>0</v>
      </c>
      <c r="Y37" s="217">
        <f t="shared" si="5"/>
      </c>
    </row>
    <row r="38" spans="1:25" ht="12.75">
      <c r="A38" s="130">
        <v>36</v>
      </c>
      <c r="B38" s="33">
        <f t="shared" si="3"/>
      </c>
      <c r="C38" s="241">
        <f>VLOOKUP($A38,Inscription!$B$3:$I$137,2)</f>
        <v>0</v>
      </c>
      <c r="D38" s="197">
        <f>VLOOKUP(C38,VTT!$C$3:$K$47,9,FALSE)</f>
      </c>
      <c r="E38" s="198"/>
      <c r="F38" s="199">
        <f>VLOOKUP(C38,VTT!$C$3:$K$47,2,FALSE)</f>
        <v>0</v>
      </c>
      <c r="G38" s="200"/>
      <c r="H38" s="201">
        <f>VLOOKUP(C38,'Course Obstacle'!$C$3:$P$47,14,FALSE)</f>
      </c>
      <c r="I38" s="202"/>
      <c r="J38" s="203">
        <f>VLOOKUP(C38,'Course Obstacle'!$C$3:$P$47,11,FALSE)</f>
      </c>
      <c r="K38" s="204"/>
      <c r="L38" s="205">
        <f>VLOOKUP(C38,'Lancer Précision'!$C$3:$H$47,6,FALSE)</f>
      </c>
      <c r="M38" s="206"/>
      <c r="N38" s="207">
        <f>VLOOKUP(C38,'Lancer Précision'!$C$3:$H$47,3,FALSE)</f>
      </c>
      <c r="O38" s="208"/>
      <c r="P38" s="209">
        <f>VLOOKUP(C38,'Saut à 2'!$C$3:$P$47,14,FALSE)</f>
      </c>
      <c r="Q38" s="210"/>
      <c r="R38" s="211">
        <f>VLOOKUP(C38,'Saut à 2'!$C$3:$P$47,11,FALSE)</f>
      </c>
      <c r="S38" s="212"/>
      <c r="T38" s="213">
        <f>VLOOKUP(C38,'Parcours Flamme'!$C$3:$P$47,14,FALSE)</f>
      </c>
      <c r="U38" s="214"/>
      <c r="V38" s="215">
        <f>VLOOKUP(C38,'Parcours Flamme'!$C$3:$P$47,11,FALSE)</f>
      </c>
      <c r="W38" s="214"/>
      <c r="X38" s="216">
        <f t="shared" si="4"/>
        <v>0</v>
      </c>
      <c r="Y38" s="217">
        <f t="shared" si="5"/>
      </c>
    </row>
    <row r="39" spans="1:25" ht="12.75">
      <c r="A39" s="130">
        <v>37</v>
      </c>
      <c r="B39" s="33">
        <f t="shared" si="3"/>
      </c>
      <c r="C39" s="241">
        <f>VLOOKUP($A39,Inscription!$B$3:$I$137,2)</f>
        <v>0</v>
      </c>
      <c r="D39" s="197">
        <f>VLOOKUP(C39,VTT!$C$3:$K$47,9,FALSE)</f>
      </c>
      <c r="E39" s="198"/>
      <c r="F39" s="199">
        <f>VLOOKUP(C39,VTT!$C$3:$K$47,2,FALSE)</f>
        <v>0</v>
      </c>
      <c r="G39" s="200"/>
      <c r="H39" s="201">
        <f>VLOOKUP(C39,'Course Obstacle'!$C$3:$P$47,14,FALSE)</f>
      </c>
      <c r="I39" s="202"/>
      <c r="J39" s="203">
        <f>VLOOKUP(C39,'Course Obstacle'!$C$3:$P$47,11,FALSE)</f>
      </c>
      <c r="K39" s="204"/>
      <c r="L39" s="205">
        <f>VLOOKUP(C39,'Lancer Précision'!$C$3:$H$47,6,FALSE)</f>
      </c>
      <c r="M39" s="206"/>
      <c r="N39" s="207">
        <f>VLOOKUP(C39,'Lancer Précision'!$C$3:$H$47,3,FALSE)</f>
      </c>
      <c r="O39" s="208"/>
      <c r="P39" s="209">
        <f>VLOOKUP(C39,'Saut à 2'!$C$3:$P$47,14,FALSE)</f>
      </c>
      <c r="Q39" s="210"/>
      <c r="R39" s="211">
        <f>VLOOKUP(C39,'Saut à 2'!$C$3:$P$47,11,FALSE)</f>
      </c>
      <c r="S39" s="212"/>
      <c r="T39" s="213">
        <f>VLOOKUP(C39,'Parcours Flamme'!$C$3:$P$47,14,FALSE)</f>
      </c>
      <c r="U39" s="214"/>
      <c r="V39" s="215">
        <f>VLOOKUP(C39,'Parcours Flamme'!$C$3:$P$47,11,FALSE)</f>
      </c>
      <c r="W39" s="214"/>
      <c r="X39" s="216">
        <f t="shared" si="4"/>
        <v>0</v>
      </c>
      <c r="Y39" s="217">
        <f t="shared" si="5"/>
      </c>
    </row>
    <row r="40" spans="1:25" ht="12.75">
      <c r="A40" s="130">
        <v>38</v>
      </c>
      <c r="B40" s="33">
        <f t="shared" si="3"/>
      </c>
      <c r="C40" s="241">
        <f>VLOOKUP($A40,Inscription!$B$3:$I$137,2)</f>
        <v>0</v>
      </c>
      <c r="D40" s="197">
        <f>VLOOKUP(C40,VTT!$C$3:$K$47,9,FALSE)</f>
      </c>
      <c r="E40" s="198"/>
      <c r="F40" s="199">
        <f>VLOOKUP(C40,VTT!$C$3:$K$47,2,FALSE)</f>
        <v>0</v>
      </c>
      <c r="G40" s="200"/>
      <c r="H40" s="201">
        <f>VLOOKUP(C40,'Course Obstacle'!$C$3:$P$47,14,FALSE)</f>
      </c>
      <c r="I40" s="202"/>
      <c r="J40" s="203">
        <f>VLOOKUP(C40,'Course Obstacle'!$C$3:$P$47,11,FALSE)</f>
      </c>
      <c r="K40" s="204"/>
      <c r="L40" s="205">
        <f>VLOOKUP(C40,'Lancer Précision'!$C$3:$H$47,6,FALSE)</f>
      </c>
      <c r="M40" s="206"/>
      <c r="N40" s="207">
        <f>VLOOKUP(C40,'Lancer Précision'!$C$3:$H$47,3,FALSE)</f>
      </c>
      <c r="O40" s="208"/>
      <c r="P40" s="209">
        <f>VLOOKUP(C40,'Saut à 2'!$C$3:$P$47,14,FALSE)</f>
      </c>
      <c r="Q40" s="210"/>
      <c r="R40" s="211">
        <f>VLOOKUP(C40,'Saut à 2'!$C$3:$P$47,11,FALSE)</f>
      </c>
      <c r="S40" s="212"/>
      <c r="T40" s="213">
        <f>VLOOKUP(C40,'Parcours Flamme'!$C$3:$P$47,14,FALSE)</f>
      </c>
      <c r="U40" s="214"/>
      <c r="V40" s="215">
        <f>VLOOKUP(C40,'Parcours Flamme'!$C$3:$P$47,11,FALSE)</f>
      </c>
      <c r="W40" s="214"/>
      <c r="X40" s="216">
        <f t="shared" si="4"/>
        <v>0</v>
      </c>
      <c r="Y40" s="217">
        <f t="shared" si="5"/>
      </c>
    </row>
    <row r="41" spans="1:25" ht="12.75">
      <c r="A41" s="130">
        <v>39</v>
      </c>
      <c r="B41" s="33">
        <f t="shared" si="3"/>
      </c>
      <c r="C41" s="241">
        <f>VLOOKUP($A41,Inscription!$B$3:$I$137,2)</f>
        <v>0</v>
      </c>
      <c r="D41" s="197">
        <f>VLOOKUP(C41,VTT!$C$3:$K$47,9,FALSE)</f>
      </c>
      <c r="E41" s="198"/>
      <c r="F41" s="199">
        <f>VLOOKUP(C41,VTT!$C$3:$K$47,2,FALSE)</f>
        <v>0</v>
      </c>
      <c r="G41" s="200"/>
      <c r="H41" s="201">
        <f>VLOOKUP(C41,'Course Obstacle'!$C$3:$P$47,14,FALSE)</f>
      </c>
      <c r="I41" s="202"/>
      <c r="J41" s="203">
        <f>VLOOKUP(C41,'Course Obstacle'!$C$3:$P$47,11,FALSE)</f>
      </c>
      <c r="K41" s="204"/>
      <c r="L41" s="205">
        <f>VLOOKUP(C41,'Lancer Précision'!$C$3:$H$47,6,FALSE)</f>
      </c>
      <c r="M41" s="206"/>
      <c r="N41" s="207">
        <f>VLOOKUP(C41,'Lancer Précision'!$C$3:$H$47,3,FALSE)</f>
      </c>
      <c r="O41" s="208"/>
      <c r="P41" s="209">
        <f>VLOOKUP(C41,'Saut à 2'!$C$3:$P$47,14,FALSE)</f>
      </c>
      <c r="Q41" s="210"/>
      <c r="R41" s="211">
        <f>VLOOKUP(C41,'Saut à 2'!$C$3:$P$47,11,FALSE)</f>
      </c>
      <c r="S41" s="212"/>
      <c r="T41" s="213">
        <f>VLOOKUP(C41,'Parcours Flamme'!$C$3:$P$47,14,FALSE)</f>
      </c>
      <c r="U41" s="214"/>
      <c r="V41" s="215">
        <f>VLOOKUP(C41,'Parcours Flamme'!$C$3:$P$47,11,FALSE)</f>
      </c>
      <c r="W41" s="214"/>
      <c r="X41" s="216">
        <f t="shared" si="4"/>
        <v>0</v>
      </c>
      <c r="Y41" s="217">
        <f t="shared" si="5"/>
      </c>
    </row>
    <row r="42" spans="1:25" ht="12.75">
      <c r="A42" s="130">
        <v>40</v>
      </c>
      <c r="B42" s="33">
        <f t="shared" si="3"/>
      </c>
      <c r="C42" s="241">
        <f>VLOOKUP($A42,Inscription!$B$3:$I$137,2)</f>
        <v>0</v>
      </c>
      <c r="D42" s="197">
        <f>VLOOKUP(C42,VTT!$C$3:$K$47,9,FALSE)</f>
      </c>
      <c r="E42" s="198"/>
      <c r="F42" s="199">
        <f>VLOOKUP(C42,VTT!$C$3:$K$47,2,FALSE)</f>
        <v>0</v>
      </c>
      <c r="G42" s="200"/>
      <c r="H42" s="201">
        <f>VLOOKUP(C42,'Course Obstacle'!$C$3:$P$47,14,FALSE)</f>
      </c>
      <c r="I42" s="202"/>
      <c r="J42" s="203">
        <f>VLOOKUP(C42,'Course Obstacle'!$C$3:$P$47,11,FALSE)</f>
      </c>
      <c r="K42" s="204"/>
      <c r="L42" s="205">
        <f>VLOOKUP(C42,'Lancer Précision'!$C$3:$H$47,6,FALSE)</f>
      </c>
      <c r="M42" s="206"/>
      <c r="N42" s="207">
        <f>VLOOKUP(C42,'Lancer Précision'!$C$3:$H$47,3,FALSE)</f>
      </c>
      <c r="O42" s="208"/>
      <c r="P42" s="209">
        <f>VLOOKUP(C42,'Saut à 2'!$C$3:$P$47,14,FALSE)</f>
      </c>
      <c r="Q42" s="210"/>
      <c r="R42" s="211">
        <f>VLOOKUP(C42,'Saut à 2'!$C$3:$P$47,11,FALSE)</f>
      </c>
      <c r="S42" s="212"/>
      <c r="T42" s="213">
        <f>VLOOKUP(C42,'Parcours Flamme'!$C$3:$P$47,14,FALSE)</f>
      </c>
      <c r="U42" s="214"/>
      <c r="V42" s="215">
        <f>VLOOKUP(C42,'Parcours Flamme'!$C$3:$P$47,11,FALSE)</f>
      </c>
      <c r="W42" s="214"/>
      <c r="X42" s="216">
        <f t="shared" si="4"/>
        <v>0</v>
      </c>
      <c r="Y42" s="217">
        <f t="shared" si="5"/>
      </c>
    </row>
    <row r="43" spans="1:25" ht="12.75">
      <c r="A43" s="130">
        <v>41</v>
      </c>
      <c r="B43" s="33">
        <f t="shared" si="1"/>
      </c>
      <c r="C43" s="241">
        <f>VLOOKUP($A43,Inscription!$B$3:$I$137,2)</f>
        <v>0</v>
      </c>
      <c r="D43" s="197">
        <f>VLOOKUP(C43,VTT!$C$3:$K$47,9,FALSE)</f>
      </c>
      <c r="E43" s="198"/>
      <c r="F43" s="199">
        <f>VLOOKUP(C43,VTT!$C$3:$K$47,2,FALSE)</f>
        <v>0</v>
      </c>
      <c r="G43" s="200"/>
      <c r="H43" s="201">
        <f>VLOOKUP(C43,'Course Obstacle'!$C$3:$P$47,14,FALSE)</f>
      </c>
      <c r="I43" s="202"/>
      <c r="J43" s="203">
        <f>VLOOKUP(C43,'Course Obstacle'!$C$3:$P$47,11,FALSE)</f>
      </c>
      <c r="K43" s="204"/>
      <c r="L43" s="205">
        <f>VLOOKUP(C43,'Lancer Précision'!$C$3:$H$47,6,FALSE)</f>
      </c>
      <c r="M43" s="206"/>
      <c r="N43" s="207">
        <f>VLOOKUP(C43,'Lancer Précision'!$C$3:$H$47,3,FALSE)</f>
      </c>
      <c r="O43" s="208"/>
      <c r="P43" s="209">
        <f>VLOOKUP(C43,'Saut à 2'!$C$3:$P$47,14,FALSE)</f>
      </c>
      <c r="Q43" s="210"/>
      <c r="R43" s="211">
        <f>VLOOKUP(C43,'Saut à 2'!$C$3:$P$47,11,FALSE)</f>
      </c>
      <c r="S43" s="212"/>
      <c r="T43" s="213">
        <f>VLOOKUP(C43,'Parcours Flamme'!$C$3:$P$47,14,FALSE)</f>
      </c>
      <c r="U43" s="214"/>
      <c r="V43" s="215">
        <f>VLOOKUP(C43,'Parcours Flamme'!$C$3:$P$47,11,FALSE)</f>
      </c>
      <c r="W43" s="214"/>
      <c r="X43" s="216">
        <f t="shared" si="2"/>
        <v>0</v>
      </c>
      <c r="Y43" s="217">
        <f>IF(X43&gt;0,RANK(X43,$X$3:$X$47,0),"")</f>
      </c>
    </row>
    <row r="44" spans="1:25" ht="12.75">
      <c r="A44" s="130">
        <v>42</v>
      </c>
      <c r="B44" s="33">
        <f t="shared" si="1"/>
      </c>
      <c r="C44" s="241">
        <f>VLOOKUP($A44,Inscription!$B$3:$I$137,2)</f>
        <v>0</v>
      </c>
      <c r="D44" s="197">
        <f>VLOOKUP(C44,VTT!$C$3:$K$47,9,FALSE)</f>
      </c>
      <c r="E44" s="198"/>
      <c r="F44" s="199">
        <f>VLOOKUP(C44,VTT!$C$3:$K$47,2,FALSE)</f>
        <v>0</v>
      </c>
      <c r="G44" s="200"/>
      <c r="H44" s="201">
        <f>VLOOKUP(C44,'Course Obstacle'!$C$3:$P$47,14,FALSE)</f>
      </c>
      <c r="I44" s="202"/>
      <c r="J44" s="203">
        <f>VLOOKUP(C44,'Course Obstacle'!$C$3:$P$47,11,FALSE)</f>
      </c>
      <c r="K44" s="204"/>
      <c r="L44" s="205">
        <f>VLOOKUP(C44,'Lancer Précision'!$C$3:$H$47,6,FALSE)</f>
      </c>
      <c r="M44" s="206"/>
      <c r="N44" s="207">
        <f>VLOOKUP(C44,'Lancer Précision'!$C$3:$H$47,3,FALSE)</f>
      </c>
      <c r="O44" s="208"/>
      <c r="P44" s="209">
        <f>VLOOKUP(C44,'Saut à 2'!$C$3:$P$47,14,FALSE)</f>
      </c>
      <c r="Q44" s="210"/>
      <c r="R44" s="211">
        <f>VLOOKUP(C44,'Saut à 2'!$C$3:$P$47,11,FALSE)</f>
      </c>
      <c r="S44" s="212"/>
      <c r="T44" s="213">
        <f>VLOOKUP(C44,'Parcours Flamme'!$C$3:$P$47,14,FALSE)</f>
      </c>
      <c r="U44" s="214"/>
      <c r="V44" s="215">
        <f>VLOOKUP(C44,'Parcours Flamme'!$C$3:$P$47,11,FALSE)</f>
      </c>
      <c r="W44" s="214"/>
      <c r="X44" s="216">
        <f t="shared" si="2"/>
        <v>0</v>
      </c>
      <c r="Y44" s="217">
        <f>IF(X44&gt;0,RANK(X44,$X$3:$X$47,0),"")</f>
      </c>
    </row>
    <row r="45" spans="1:25" ht="12.75">
      <c r="A45" s="130">
        <v>43</v>
      </c>
      <c r="B45" s="33">
        <f t="shared" si="1"/>
      </c>
      <c r="C45" s="241">
        <f>VLOOKUP($A45,Inscription!$B$3:$I$137,2)</f>
        <v>0</v>
      </c>
      <c r="D45" s="197">
        <f>VLOOKUP(C45,VTT!$C$3:$K$47,9,FALSE)</f>
      </c>
      <c r="E45" s="198"/>
      <c r="F45" s="199">
        <f>VLOOKUP(C45,VTT!$C$3:$K$47,2,FALSE)</f>
        <v>0</v>
      </c>
      <c r="G45" s="200"/>
      <c r="H45" s="201">
        <f>VLOOKUP(C45,'Course Obstacle'!$C$3:$P$47,14,FALSE)</f>
      </c>
      <c r="I45" s="202"/>
      <c r="J45" s="203">
        <f>VLOOKUP(C45,'Course Obstacle'!$C$3:$P$47,11,FALSE)</f>
      </c>
      <c r="K45" s="204"/>
      <c r="L45" s="205">
        <f>VLOOKUP(C45,'Lancer Précision'!$C$3:$H$47,6,FALSE)</f>
      </c>
      <c r="M45" s="206"/>
      <c r="N45" s="207">
        <f>VLOOKUP(C45,'Lancer Précision'!$C$3:$H$47,3,FALSE)</f>
      </c>
      <c r="O45" s="208"/>
      <c r="P45" s="209">
        <f>VLOOKUP(C45,'Saut à 2'!$C$3:$P$47,14,FALSE)</f>
      </c>
      <c r="Q45" s="210"/>
      <c r="R45" s="211">
        <f>VLOOKUP(C45,'Saut à 2'!$C$3:$P$47,11,FALSE)</f>
      </c>
      <c r="S45" s="212"/>
      <c r="T45" s="213">
        <f>VLOOKUP(C45,'Parcours Flamme'!$C$3:$P$47,14,FALSE)</f>
      </c>
      <c r="U45" s="214"/>
      <c r="V45" s="215">
        <f>VLOOKUP(C45,'Parcours Flamme'!$C$3:$P$47,11,FALSE)</f>
      </c>
      <c r="W45" s="214"/>
      <c r="X45" s="216">
        <f t="shared" si="2"/>
        <v>0</v>
      </c>
      <c r="Y45" s="217">
        <f>IF(X45&gt;0,RANK(X45,$X$3:$X$47,0),"")</f>
      </c>
    </row>
    <row r="46" spans="1:25" ht="12.75">
      <c r="A46" s="130">
        <v>44</v>
      </c>
      <c r="B46" s="33">
        <f t="shared" si="1"/>
      </c>
      <c r="C46" s="241">
        <f>VLOOKUP($A46,Inscription!$B$3:$I$137,2)</f>
        <v>0</v>
      </c>
      <c r="D46" s="197">
        <f>VLOOKUP(C46,VTT!$C$3:$K$47,9,FALSE)</f>
      </c>
      <c r="E46" s="198"/>
      <c r="F46" s="199">
        <f>VLOOKUP(C46,VTT!$C$3:$K$47,2,FALSE)</f>
        <v>0</v>
      </c>
      <c r="G46" s="200"/>
      <c r="H46" s="201">
        <f>VLOOKUP(C46,'Course Obstacle'!$C$3:$P$47,14,FALSE)</f>
      </c>
      <c r="I46" s="202"/>
      <c r="J46" s="203">
        <f>VLOOKUP(C46,'Course Obstacle'!$C$3:$P$47,11,FALSE)</f>
      </c>
      <c r="K46" s="204"/>
      <c r="L46" s="205">
        <f>VLOOKUP(C46,'Lancer Précision'!$C$3:$H$47,6,FALSE)</f>
      </c>
      <c r="M46" s="206"/>
      <c r="N46" s="207">
        <f>VLOOKUP(C46,'Lancer Précision'!$C$3:$H$47,3,FALSE)</f>
      </c>
      <c r="O46" s="208"/>
      <c r="P46" s="209">
        <f>VLOOKUP(C46,'Saut à 2'!$C$3:$P$47,14,FALSE)</f>
      </c>
      <c r="Q46" s="210"/>
      <c r="R46" s="211">
        <f>VLOOKUP(C46,'Saut à 2'!$C$3:$P$47,11,FALSE)</f>
      </c>
      <c r="S46" s="212"/>
      <c r="T46" s="213">
        <f>VLOOKUP(C46,'Parcours Flamme'!$C$3:$P$47,14,FALSE)</f>
      </c>
      <c r="U46" s="214"/>
      <c r="V46" s="215">
        <f>VLOOKUP(C46,'Parcours Flamme'!$C$3:$P$47,11,FALSE)</f>
      </c>
      <c r="W46" s="214"/>
      <c r="X46" s="216">
        <f t="shared" si="2"/>
        <v>0</v>
      </c>
      <c r="Y46" s="217">
        <f>IF(X46&gt;0,RANK(X46,$X$3:$X$47,0),"")</f>
      </c>
    </row>
    <row r="47" spans="1:25" ht="13.5" thickBot="1">
      <c r="A47" s="130">
        <v>45</v>
      </c>
      <c r="B47" s="33">
        <f t="shared" si="1"/>
      </c>
      <c r="C47" s="242">
        <f>VLOOKUP($A47,Inscription!$B$3:$I$137,2)</f>
        <v>0</v>
      </c>
      <c r="D47" s="218">
        <f>VLOOKUP(C47,VTT!$C$3:$K$47,9,FALSE)</f>
      </c>
      <c r="E47" s="219"/>
      <c r="F47" s="220">
        <f>VLOOKUP(C47,VTT!$C$3:$K$47,2,FALSE)</f>
        <v>0</v>
      </c>
      <c r="G47" s="221"/>
      <c r="H47" s="222">
        <f>VLOOKUP(C47,'Course Obstacle'!$C$3:$P$47,14,FALSE)</f>
      </c>
      <c r="I47" s="223"/>
      <c r="J47" s="224">
        <f>VLOOKUP(C47,'Course Obstacle'!$C$3:$P$47,11,FALSE)</f>
      </c>
      <c r="K47" s="225"/>
      <c r="L47" s="226">
        <f>VLOOKUP(C47,'Lancer Précision'!$C$3:$H$47,6,FALSE)</f>
      </c>
      <c r="M47" s="227"/>
      <c r="N47" s="228">
        <f>VLOOKUP(C47,'Lancer Précision'!$C$3:$H$47,3,FALSE)</f>
      </c>
      <c r="O47" s="229"/>
      <c r="P47" s="230">
        <f>VLOOKUP(C47,'Saut à 2'!$C$3:$P$47,14,FALSE)</f>
      </c>
      <c r="Q47" s="231"/>
      <c r="R47" s="232">
        <f>VLOOKUP(C47,'Saut à 2'!$C$3:$P$47,11,FALSE)</f>
      </c>
      <c r="S47" s="233"/>
      <c r="T47" s="234">
        <f>VLOOKUP(C47,'Parcours Flamme'!$C$3:$P$47,14,FALSE)</f>
      </c>
      <c r="U47" s="235"/>
      <c r="V47" s="236">
        <f>VLOOKUP(C47,'Parcours Flamme'!$C$3:$P$47,11,FALSE)</f>
      </c>
      <c r="W47" s="235"/>
      <c r="X47" s="237">
        <f t="shared" si="2"/>
        <v>0</v>
      </c>
      <c r="Y47" s="238">
        <f>IF(X47&gt;0,RANK(X47,$X$3:$X$47,0),"")</f>
      </c>
    </row>
    <row r="48" spans="2:25" ht="12.75">
      <c r="B48" s="51">
        <f t="shared" si="1"/>
        <v>0</v>
      </c>
      <c r="C48" s="330" t="s">
        <v>38</v>
      </c>
      <c r="D48" s="58">
        <v>1</v>
      </c>
      <c r="E48" s="59">
        <f>D48*G48</f>
        <v>1</v>
      </c>
      <c r="F48" s="247" t="str">
        <f>VLOOKUP(1,VTT!$B$3:$C$47,2,FALSE)</f>
        <v>Bleus</v>
      </c>
      <c r="G48" s="49">
        <f aca="true" t="shared" si="6" ref="G48:G53">IF(OR(F48=$AA$27,F48=$AA$24,F48=$AA$21),100,1)</f>
        <v>1</v>
      </c>
      <c r="H48" s="64">
        <v>1</v>
      </c>
      <c r="I48" s="65">
        <f>H48*K48</f>
        <v>100</v>
      </c>
      <c r="J48" s="250" t="str">
        <f>VLOOKUP(1,'Course Obstacle'!$B$3:$C$47,2,FALSE)</f>
        <v>Aigles d'or</v>
      </c>
      <c r="K48" s="49">
        <f>IF(OR(J48=$AA$27,J48=$AA$24,J48=$AA$21,J48=$AA$4,),100,1)</f>
        <v>100</v>
      </c>
      <c r="L48" s="70">
        <v>1</v>
      </c>
      <c r="M48" s="71">
        <f>L48*O48</f>
        <v>100</v>
      </c>
      <c r="N48" s="253" t="str">
        <f>VLOOKUP(1,'Lancer Précision'!$B$3:$C$47,2,FALSE)</f>
        <v>The Tigers</v>
      </c>
      <c r="O48" s="49">
        <f aca="true" t="shared" si="7" ref="O48:O55">IF(OR(N48=$AA$27,N48=$AA$24,N48=$AA$21,N48=$AA$4,N48=$AA$7),100,1)</f>
        <v>100</v>
      </c>
      <c r="P48" s="76">
        <v>1</v>
      </c>
      <c r="Q48" s="77">
        <f>P48*S48</f>
        <v>100</v>
      </c>
      <c r="R48" s="256" t="str">
        <f>VLOOKUP(1,'Saut à 2'!$B$3:$C$47,2,FALSE)</f>
        <v>The Tigers</v>
      </c>
      <c r="S48" s="49">
        <f aca="true" t="shared" si="8" ref="S48:S55">IF(OR(R48=$AA$27,R48=$AA$24,R48=$AA$21,R48=$AA$4,R48=$AA$7,R48=$AA$10),100,1)</f>
        <v>100</v>
      </c>
      <c r="T48" s="143">
        <v>1</v>
      </c>
      <c r="U48" s="144">
        <f>T48*W48</f>
        <v>100</v>
      </c>
      <c r="V48" s="259" t="str">
        <f>VLOOKUP(1,'Parcours Flamme'!$B$3:$C$47,2,FALSE)</f>
        <v>Aigles d'or</v>
      </c>
      <c r="W48" s="145">
        <f aca="true" t="shared" si="9" ref="W48:W55">IF(OR(V48=$AA$27,V48=$AA$24,V48=$AA$21,V48=$AA$4,V48=$AA$7,V48=$AA$10,V48=$AA$13),100,1)</f>
        <v>100</v>
      </c>
      <c r="Y48" s="48"/>
    </row>
    <row r="49" spans="3:23" ht="12.75">
      <c r="C49" s="331"/>
      <c r="D49" s="60">
        <v>2</v>
      </c>
      <c r="E49" s="61">
        <f aca="true" t="shared" si="10" ref="E49:E55">D49*G49</f>
        <v>200</v>
      </c>
      <c r="F49" s="248" t="str">
        <f>VLOOKUP(2,VTT!$B$3:$C$47,2,FALSE)</f>
        <v>Aigles d'or</v>
      </c>
      <c r="G49" s="49">
        <f t="shared" si="6"/>
        <v>100</v>
      </c>
      <c r="H49" s="66">
        <v>2</v>
      </c>
      <c r="I49" s="67">
        <f aca="true" t="shared" si="11" ref="I49:I55">H49*K49</f>
        <v>200</v>
      </c>
      <c r="J49" s="251" t="str">
        <f>VLOOKUP(2,'Course Obstacle'!$B$3:$C$47,2,FALSE)</f>
        <v>The Tigers</v>
      </c>
      <c r="K49" s="49">
        <f aca="true" t="shared" si="12" ref="K49:K55">IF(OR(J49=$AA$27,J49=$AA$24,J49=$AA$21,J49=$AA$4),100,1)</f>
        <v>100</v>
      </c>
      <c r="L49" s="72">
        <v>2</v>
      </c>
      <c r="M49" s="73">
        <f aca="true" t="shared" si="13" ref="M49:M55">L49*O49</f>
        <v>2</v>
      </c>
      <c r="N49" s="254" t="str">
        <f>VLOOKUP(2,'Lancer Précision'!$B$3:$C$47,2,FALSE)</f>
        <v>Jumaé</v>
      </c>
      <c r="O49" s="49">
        <f t="shared" si="7"/>
        <v>1</v>
      </c>
      <c r="P49" s="78">
        <v>2</v>
      </c>
      <c r="Q49" s="79">
        <f aca="true" t="shared" si="14" ref="Q49:Q55">P49*S49</f>
        <v>2</v>
      </c>
      <c r="R49" s="257" t="str">
        <f>VLOOKUP(2,'Saut à 2'!$B$3:$C$47,2,FALSE)</f>
        <v>Ch'tis</v>
      </c>
      <c r="S49" s="49">
        <f t="shared" si="8"/>
        <v>1</v>
      </c>
      <c r="T49" s="146">
        <v>2</v>
      </c>
      <c r="U49" s="147">
        <f aca="true" t="shared" si="15" ref="U49:U55">T49*W49</f>
        <v>200</v>
      </c>
      <c r="V49" s="260" t="str">
        <f>VLOOKUP(2,'Parcours Flamme'!$B$3:$C$47,2,FALSE)</f>
        <v>Twisters</v>
      </c>
      <c r="W49" s="145">
        <f t="shared" si="9"/>
        <v>100</v>
      </c>
    </row>
    <row r="50" spans="3:23" ht="12.75">
      <c r="C50" s="331"/>
      <c r="D50" s="60">
        <v>3</v>
      </c>
      <c r="E50" s="61">
        <f t="shared" si="10"/>
        <v>300</v>
      </c>
      <c r="F50" s="248" t="str">
        <f>VLOOKUP(3,VTT!$B$3:$C$47,2,FALSE)</f>
        <v>The Tigers</v>
      </c>
      <c r="G50" s="49">
        <f t="shared" si="6"/>
        <v>100</v>
      </c>
      <c r="H50" s="66">
        <v>3</v>
      </c>
      <c r="I50" s="67">
        <f t="shared" si="11"/>
        <v>3</v>
      </c>
      <c r="J50" s="251" t="str">
        <f>VLOOKUP(3,'Course Obstacle'!$B$3:$C$47,2,FALSE)</f>
        <v>Footballeurs</v>
      </c>
      <c r="K50" s="49">
        <f t="shared" si="12"/>
        <v>1</v>
      </c>
      <c r="L50" s="72">
        <v>3</v>
      </c>
      <c r="M50" s="73">
        <f t="shared" si="13"/>
        <v>3</v>
      </c>
      <c r="N50" s="254" t="str">
        <f>VLOOKUP(3,'Lancer Précision'!$B$3:$C$47,2,FALSE)</f>
        <v>Big Boss</v>
      </c>
      <c r="O50" s="49">
        <f t="shared" si="7"/>
        <v>1</v>
      </c>
      <c r="P50" s="78">
        <v>3</v>
      </c>
      <c r="Q50" s="79">
        <f t="shared" si="14"/>
        <v>300</v>
      </c>
      <c r="R50" s="257" t="str">
        <f>VLOOKUP(3,'Saut à 2'!$B$3:$C$47,2,FALSE)</f>
        <v>Twisters</v>
      </c>
      <c r="S50" s="49">
        <f t="shared" si="8"/>
        <v>100</v>
      </c>
      <c r="T50" s="146">
        <v>3</v>
      </c>
      <c r="U50" s="147">
        <f t="shared" si="15"/>
        <v>3</v>
      </c>
      <c r="V50" s="260" t="str">
        <f>VLOOKUP(3,'Parcours Flamme'!$B$3:$C$47,2,FALSE)</f>
        <v>Tigres Rouges</v>
      </c>
      <c r="W50" s="145">
        <f t="shared" si="9"/>
        <v>1</v>
      </c>
    </row>
    <row r="51" spans="3:23" ht="12.75">
      <c r="C51" s="331"/>
      <c r="D51" s="60">
        <v>4</v>
      </c>
      <c r="E51" s="61">
        <f t="shared" si="10"/>
        <v>4</v>
      </c>
      <c r="F51" s="248" t="str">
        <f>VLOOKUP(4,VTT!$B$3:$C$47,2,FALSE)</f>
        <v>Ch'tis</v>
      </c>
      <c r="G51" s="49">
        <f t="shared" si="6"/>
        <v>1</v>
      </c>
      <c r="H51" s="66">
        <v>4</v>
      </c>
      <c r="I51" s="67">
        <f t="shared" si="11"/>
        <v>4</v>
      </c>
      <c r="J51" s="251" t="str">
        <f>VLOOKUP(4,'Course Obstacle'!$B$3:$C$47,2,FALSE)</f>
        <v>Ch'tis</v>
      </c>
      <c r="K51" s="49">
        <f t="shared" si="12"/>
        <v>1</v>
      </c>
      <c r="L51" s="72">
        <v>4</v>
      </c>
      <c r="M51" s="73">
        <f t="shared" si="13"/>
        <v>4</v>
      </c>
      <c r="N51" s="254" t="str">
        <f>VLOOKUP(4,'Lancer Précision'!$B$3:$C$47,2,FALSE)</f>
        <v>Trio</v>
      </c>
      <c r="O51" s="49">
        <f t="shared" si="7"/>
        <v>1</v>
      </c>
      <c r="P51" s="78">
        <v>4</v>
      </c>
      <c r="Q51" s="79">
        <f t="shared" si="14"/>
        <v>4</v>
      </c>
      <c r="R51" s="257" t="str">
        <f>VLOOKUP(4,'Saut à 2'!$B$3:$C$47,2,FALSE)</f>
        <v>Flammes Noires</v>
      </c>
      <c r="S51" s="49">
        <f t="shared" si="8"/>
        <v>1</v>
      </c>
      <c r="T51" s="146">
        <v>4</v>
      </c>
      <c r="U51" s="147">
        <f t="shared" si="15"/>
        <v>400</v>
      </c>
      <c r="V51" s="260" t="str">
        <f>VLOOKUP(4,'Parcours Flamme'!$B$3:$C$47,2,FALSE)</f>
        <v>Bleus</v>
      </c>
      <c r="W51" s="145">
        <f t="shared" si="9"/>
        <v>100</v>
      </c>
    </row>
    <row r="52" spans="3:23" ht="12.75">
      <c r="C52" s="331"/>
      <c r="D52" s="60">
        <v>5</v>
      </c>
      <c r="E52" s="61">
        <f t="shared" si="10"/>
        <v>5</v>
      </c>
      <c r="F52" s="248" t="str">
        <f>VLOOKUP(5,VTT!$B$3:$C$47,2,FALSE)</f>
        <v>Tontons flingueurs</v>
      </c>
      <c r="G52" s="49">
        <f t="shared" si="6"/>
        <v>1</v>
      </c>
      <c r="H52" s="66">
        <v>5</v>
      </c>
      <c r="I52" s="67">
        <f t="shared" si="11"/>
        <v>500</v>
      </c>
      <c r="J52" s="251" t="str">
        <f>VLOOKUP(5,'Course Obstacle'!$B$3:$C$47,2,FALSE)</f>
        <v>Bleus</v>
      </c>
      <c r="K52" s="49">
        <f t="shared" si="12"/>
        <v>100</v>
      </c>
      <c r="L52" s="72">
        <v>5</v>
      </c>
      <c r="M52" s="73">
        <f t="shared" si="13"/>
        <v>5</v>
      </c>
      <c r="N52" s="254" t="str">
        <f>VLOOKUP(5,'Lancer Précision'!$B$3:$C$47,2,FALSE)</f>
        <v>Best Ones</v>
      </c>
      <c r="O52" s="49">
        <f t="shared" si="7"/>
        <v>1</v>
      </c>
      <c r="P52" s="78">
        <v>5</v>
      </c>
      <c r="Q52" s="79">
        <f t="shared" si="14"/>
        <v>500</v>
      </c>
      <c r="R52" s="257" t="str">
        <f>VLOOKUP(5,'Saut à 2'!$B$3:$C$47,2,FALSE)</f>
        <v>Footballeurs</v>
      </c>
      <c r="S52" s="49">
        <f t="shared" si="8"/>
        <v>100</v>
      </c>
      <c r="T52" s="146">
        <v>5</v>
      </c>
      <c r="U52" s="147">
        <f t="shared" si="15"/>
        <v>500</v>
      </c>
      <c r="V52" s="260" t="str">
        <f>VLOOKUP(5,'Parcours Flamme'!$B$3:$C$47,2,FALSE)</f>
        <v>Footballeurs</v>
      </c>
      <c r="W52" s="145">
        <f t="shared" si="9"/>
        <v>100</v>
      </c>
    </row>
    <row r="53" spans="3:23" ht="12.75">
      <c r="C53" s="331"/>
      <c r="D53" s="60">
        <v>6</v>
      </c>
      <c r="E53" s="61">
        <f t="shared" si="10"/>
        <v>6</v>
      </c>
      <c r="F53" s="248" t="str">
        <f>VLOOKUP(6,VTT!$B$3:$C$47,2,FALSE)</f>
        <v>Saumons</v>
      </c>
      <c r="G53" s="49">
        <f t="shared" si="6"/>
        <v>1</v>
      </c>
      <c r="H53" s="66">
        <v>6</v>
      </c>
      <c r="I53" s="67">
        <f t="shared" si="11"/>
        <v>600</v>
      </c>
      <c r="J53" s="251" t="str">
        <f>VLOOKUP(6,'Course Obstacle'!$B$3:$C$47,2,FALSE)</f>
        <v>Twisters</v>
      </c>
      <c r="K53" s="49">
        <f t="shared" si="12"/>
        <v>100</v>
      </c>
      <c r="L53" s="72">
        <v>6</v>
      </c>
      <c r="M53" s="73">
        <f t="shared" si="13"/>
        <v>600</v>
      </c>
      <c r="N53" s="254" t="str">
        <f>VLOOKUP(6,'Lancer Précision'!$B$3:$C$47,2,FALSE)</f>
        <v>Bleus</v>
      </c>
      <c r="O53" s="49">
        <f t="shared" si="7"/>
        <v>100</v>
      </c>
      <c r="P53" s="78">
        <v>6</v>
      </c>
      <c r="Q53" s="79">
        <f t="shared" si="14"/>
        <v>600</v>
      </c>
      <c r="R53" s="257" t="str">
        <f>VLOOKUP(6,'Saut à 2'!$B$3:$C$47,2,FALSE)</f>
        <v>Bleus</v>
      </c>
      <c r="S53" s="49">
        <f t="shared" si="8"/>
        <v>100</v>
      </c>
      <c r="T53" s="146">
        <v>6</v>
      </c>
      <c r="U53" s="147">
        <f t="shared" si="15"/>
        <v>600</v>
      </c>
      <c r="V53" s="260" t="str">
        <f>VLOOKUP(6,'Parcours Flamme'!$B$3:$C$47,2,FALSE)</f>
        <v>The Tigers</v>
      </c>
      <c r="W53" s="145">
        <f t="shared" si="9"/>
        <v>100</v>
      </c>
    </row>
    <row r="54" spans="3:23" ht="12.75">
      <c r="C54" s="331"/>
      <c r="D54" s="60">
        <v>7</v>
      </c>
      <c r="E54" s="61">
        <f t="shared" si="10"/>
        <v>7</v>
      </c>
      <c r="F54" s="248" t="str">
        <f>VLOOKUP(7,VTT!$B$3:$C$47,2,FALSE)</f>
        <v>Cavalières</v>
      </c>
      <c r="G54" s="49">
        <f>IF(OR(F54=$AA$27,F54=$AA$24,F54=$AA$21),10,1)</f>
        <v>1</v>
      </c>
      <c r="H54" s="66">
        <v>7</v>
      </c>
      <c r="I54" s="67">
        <f t="shared" si="11"/>
        <v>7</v>
      </c>
      <c r="J54" s="251" t="str">
        <f>VLOOKUP(7,'Course Obstacle'!$B$3:$C$47,2,FALSE)</f>
        <v>Tontons flingueurs</v>
      </c>
      <c r="K54" s="49">
        <f t="shared" si="12"/>
        <v>1</v>
      </c>
      <c r="L54" s="72">
        <v>7</v>
      </c>
      <c r="M54" s="73">
        <f t="shared" si="13"/>
        <v>7</v>
      </c>
      <c r="N54" s="254" t="str">
        <f>VLOOKUP(7,'Lancer Précision'!$B$3:$C$47,2,FALSE)</f>
        <v>Tigres Rouges</v>
      </c>
      <c r="O54" s="49">
        <f t="shared" si="7"/>
        <v>1</v>
      </c>
      <c r="P54" s="78">
        <v>7</v>
      </c>
      <c r="Q54" s="79">
        <f t="shared" si="14"/>
        <v>7</v>
      </c>
      <c r="R54" s="257" t="str">
        <f>VLOOKUP(7,'Saut à 2'!$B$3:$C$47,2,FALSE)</f>
        <v>Cavalières</v>
      </c>
      <c r="S54" s="49">
        <f t="shared" si="8"/>
        <v>1</v>
      </c>
      <c r="T54" s="146">
        <v>7</v>
      </c>
      <c r="U54" s="147">
        <f t="shared" si="15"/>
        <v>7</v>
      </c>
      <c r="V54" s="260" t="str">
        <f>VLOOKUP(7,'Parcours Flamme'!$B$3:$C$47,2,FALSE)</f>
        <v>Tontons flingueurs</v>
      </c>
      <c r="W54" s="145">
        <f t="shared" si="9"/>
        <v>1</v>
      </c>
    </row>
    <row r="55" spans="3:23" ht="13.5" thickBot="1">
      <c r="C55" s="332"/>
      <c r="D55" s="62">
        <v>8</v>
      </c>
      <c r="E55" s="63">
        <f t="shared" si="10"/>
        <v>8</v>
      </c>
      <c r="F55" s="249" t="str">
        <f>VLOOKUP(8,VTT!$B$3:$C$47,2,FALSE)</f>
        <v>Footballeurs</v>
      </c>
      <c r="G55" s="49">
        <f>IF(OR(F55=$AA$27,F55=$AA$24,F55=$AA$21),0,1)</f>
        <v>1</v>
      </c>
      <c r="H55" s="68">
        <v>8</v>
      </c>
      <c r="I55" s="69">
        <f t="shared" si="11"/>
        <v>8</v>
      </c>
      <c r="J55" s="252" t="str">
        <f>VLOOKUP(8,'Course Obstacle'!$B$3:$C$47,2,FALSE)</f>
        <v>Cavalières</v>
      </c>
      <c r="K55" s="49">
        <f t="shared" si="12"/>
        <v>1</v>
      </c>
      <c r="L55" s="74">
        <v>8</v>
      </c>
      <c r="M55" s="75">
        <f t="shared" si="13"/>
        <v>8</v>
      </c>
      <c r="N55" s="255" t="str">
        <f>VLOOKUP(8,'Lancer Précision'!$B$3:$C$47,2,FALSE)</f>
        <v>Flammes Noires</v>
      </c>
      <c r="O55" s="49">
        <f t="shared" si="7"/>
        <v>1</v>
      </c>
      <c r="P55" s="80">
        <v>8</v>
      </c>
      <c r="Q55" s="81">
        <f t="shared" si="14"/>
        <v>8</v>
      </c>
      <c r="R55" s="258" t="str">
        <f>VLOOKUP(8,'Saut à 2'!$B$3:$C$47,2,FALSE)</f>
        <v>Saumons</v>
      </c>
      <c r="S55" s="49">
        <f t="shared" si="8"/>
        <v>1</v>
      </c>
      <c r="T55" s="148">
        <v>8</v>
      </c>
      <c r="U55" s="149">
        <f t="shared" si="15"/>
        <v>8</v>
      </c>
      <c r="V55" s="261" t="str">
        <f>VLOOKUP(8,'Parcours Flamme'!$B$3:$C$47,2,FALSE)</f>
        <v>Toufou</v>
      </c>
      <c r="W55" s="145">
        <f t="shared" si="9"/>
        <v>1</v>
      </c>
    </row>
  </sheetData>
  <sheetProtection password="DB53" sheet="1" objects="1" scenarios="1"/>
  <mergeCells count="15">
    <mergeCell ref="C48:C55"/>
    <mergeCell ref="AA7:AA8"/>
    <mergeCell ref="AA10:AA11"/>
    <mergeCell ref="AA13:AA14"/>
    <mergeCell ref="AA16:AA17"/>
    <mergeCell ref="AA27:AA28"/>
    <mergeCell ref="AA21:AA22"/>
    <mergeCell ref="AA24:AA25"/>
    <mergeCell ref="AA4:AA5"/>
    <mergeCell ref="T2:W2"/>
    <mergeCell ref="X2:Y2"/>
    <mergeCell ref="D2:G2"/>
    <mergeCell ref="H2:K2"/>
    <mergeCell ref="L2:N2"/>
    <mergeCell ref="P2:S2"/>
  </mergeCells>
  <conditionalFormatting sqref="E3:E47 C3:C47">
    <cfRule type="cellIs" priority="1" dxfId="1" operator="equal" stopIfTrue="1">
      <formula>0</formula>
    </cfRule>
  </conditionalFormatting>
  <conditionalFormatting sqref="G3:W47 D3:D47">
    <cfRule type="cellIs" priority="2" dxfId="2" operator="equal" stopIfTrue="1">
      <formula>0</formula>
    </cfRule>
  </conditionalFormatting>
  <conditionalFormatting sqref="F3:F47">
    <cfRule type="cellIs" priority="3" dxfId="3" operator="equal" stopIfTrue="1">
      <formula>0</formula>
    </cfRule>
  </conditionalFormatting>
  <conditionalFormatting sqref="X3:X47">
    <cfRule type="cellIs" priority="4" dxfId="4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300" verticalDpi="300" orientation="landscape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2:P47"/>
  <sheetViews>
    <sheetView workbookViewId="0" topLeftCell="A1">
      <selection activeCell="D4" sqref="D4"/>
    </sheetView>
  </sheetViews>
  <sheetFormatPr defaultColWidth="11.421875" defaultRowHeight="12.75"/>
  <cols>
    <col min="1" max="1" width="1.8515625" style="129" customWidth="1"/>
    <col min="2" max="2" width="3.57421875" style="0" hidden="1" customWidth="1"/>
    <col min="3" max="3" width="32.7109375" style="0" customWidth="1"/>
    <col min="5" max="5" width="7.140625" style="0" customWidth="1"/>
    <col min="6" max="6" width="13.7109375" style="0" hidden="1" customWidth="1"/>
    <col min="7" max="7" width="14.57421875" style="0" hidden="1" customWidth="1"/>
    <col min="8" max="8" width="0" style="0" hidden="1" customWidth="1"/>
    <col min="9" max="10" width="11.421875" style="0" hidden="1" customWidth="1"/>
  </cols>
  <sheetData>
    <row r="1" ht="6" customHeight="1" thickBot="1"/>
    <row r="2" spans="1:11" ht="13.5" thickBot="1">
      <c r="A2" s="131"/>
      <c r="B2" s="153"/>
      <c r="C2" s="10" t="s">
        <v>0</v>
      </c>
      <c r="D2" s="11" t="s">
        <v>7</v>
      </c>
      <c r="E2" s="12" t="s">
        <v>18</v>
      </c>
      <c r="F2" s="151" t="s">
        <v>8</v>
      </c>
      <c r="G2" s="152" t="s">
        <v>9</v>
      </c>
      <c r="H2" s="12" t="s">
        <v>5</v>
      </c>
      <c r="I2" s="151"/>
      <c r="J2" s="151"/>
      <c r="K2" s="13" t="s">
        <v>12</v>
      </c>
    </row>
    <row r="3" spans="1:16" ht="12.75">
      <c r="A3" s="132">
        <v>1</v>
      </c>
      <c r="B3" s="7">
        <f>K3</f>
        <v>3</v>
      </c>
      <c r="C3" s="119" t="str">
        <f>VLOOKUP($A3,Inscription!$B$3:$I$137,2)</f>
        <v>The Tigers</v>
      </c>
      <c r="D3" s="9">
        <v>23</v>
      </c>
      <c r="E3" s="82">
        <f>VLOOKUP($A3,Inscription!$B$3:$I$137,7)</f>
      </c>
      <c r="F3" s="83">
        <f>IF(E3="X",Inscription!$I$2,1)</f>
        <v>1</v>
      </c>
      <c r="G3" s="83">
        <f aca="true" t="shared" si="0" ref="G3:G47">D3*F3</f>
        <v>23</v>
      </c>
      <c r="H3" s="84">
        <f aca="true" t="shared" si="1" ref="H3:H47">IF(D3=0,"",IF(G3&gt;30,30,G3))</f>
        <v>23</v>
      </c>
      <c r="I3" s="85">
        <f>IF(COUNTA(D3),VLOOKUP(C3,Inscription!$C$3:$O$137,13,FALSE),"")</f>
        <v>4.2387495598981595E-06</v>
      </c>
      <c r="J3" s="85">
        <f>IF(COUNTA(D3),H3+I3,"")</f>
        <v>23.00000423874956</v>
      </c>
      <c r="K3" s="86">
        <f>IF(COUNTA(D3),RANK(J3,$J$3:$J$47,0),"")</f>
        <v>3</v>
      </c>
      <c r="O3" s="343" t="s">
        <v>14</v>
      </c>
      <c r="P3" s="343"/>
    </row>
    <row r="4" spans="1:16" ht="12.75">
      <c r="A4" s="132">
        <v>2</v>
      </c>
      <c r="B4" s="7">
        <f aca="true" t="shared" si="2" ref="B4:B47">K4</f>
        <v>11</v>
      </c>
      <c r="C4" s="120" t="str">
        <f>VLOOKUP($A4,Inscription!$B$3:$I$137,2)</f>
        <v>Tigres Rouges</v>
      </c>
      <c r="D4" s="5">
        <v>19</v>
      </c>
      <c r="E4" s="87">
        <f>VLOOKUP($A4,Inscription!$B$3:$I$137,7)</f>
      </c>
      <c r="F4" s="88">
        <f>IF(E4="X",Inscription!$I$2,1)</f>
        <v>1</v>
      </c>
      <c r="G4" s="88">
        <f t="shared" si="0"/>
        <v>19</v>
      </c>
      <c r="H4" s="89">
        <f t="shared" si="1"/>
        <v>19</v>
      </c>
      <c r="I4" s="85">
        <f>IF(COUNTA(D4),VLOOKUP(C4,Inscription!$C$3:$O$137,13,FALSE),"")</f>
        <v>5.547261142042036E-06</v>
      </c>
      <c r="J4" s="90">
        <f aca="true" t="shared" si="3" ref="J4:J47">IF(COUNTA(D4),H4+I4,"")</f>
        <v>19.000005547261143</v>
      </c>
      <c r="K4" s="91">
        <f aca="true" t="shared" si="4" ref="K4:K47">IF(COUNTA(D4),RANK(J4,$J$3:$J$47,0),"")</f>
        <v>11</v>
      </c>
      <c r="O4" s="344" t="str">
        <f>VLOOKUP(1,$B$3:$C$47,2,FALSE)</f>
        <v>Bleus</v>
      </c>
      <c r="P4" s="344"/>
    </row>
    <row r="5" spans="1:16" ht="12.75">
      <c r="A5" s="132">
        <v>3</v>
      </c>
      <c r="B5" s="7">
        <f t="shared" si="2"/>
        <v>1</v>
      </c>
      <c r="C5" s="120" t="str">
        <f>VLOOKUP($A5,Inscription!$B$3:$I$137,2)</f>
        <v>Bleus</v>
      </c>
      <c r="D5" s="5">
        <v>26</v>
      </c>
      <c r="E5" s="87" t="str">
        <f>VLOOKUP($A5,Inscription!$B$3:$I$137,7)</f>
        <v>X</v>
      </c>
      <c r="F5" s="88">
        <f>IF(E5="X",Inscription!$I$2,1)</f>
        <v>1.05</v>
      </c>
      <c r="G5" s="88">
        <f t="shared" si="0"/>
        <v>27.3</v>
      </c>
      <c r="H5" s="89">
        <f t="shared" si="1"/>
        <v>27.3</v>
      </c>
      <c r="I5" s="85">
        <f>IF(COUNTA(D5),VLOOKUP(C5,Inscription!$C$3:$O$137,13,FALSE),"")</f>
        <v>5.4923228102679905E-06</v>
      </c>
      <c r="J5" s="90">
        <f t="shared" si="3"/>
        <v>27.30000549232281</v>
      </c>
      <c r="K5" s="91">
        <f t="shared" si="4"/>
        <v>1</v>
      </c>
      <c r="O5" s="344"/>
      <c r="P5" s="344"/>
    </row>
    <row r="6" spans="1:11" ht="12.75">
      <c r="A6" s="132">
        <v>4</v>
      </c>
      <c r="B6" s="7">
        <f t="shared" si="2"/>
        <v>14</v>
      </c>
      <c r="C6" s="120" t="str">
        <f>VLOOKUP($A6,Inscription!$B$3:$I$137,2)</f>
        <v>Jumaé</v>
      </c>
      <c r="D6" s="5">
        <v>17</v>
      </c>
      <c r="E6" s="87" t="str">
        <f>VLOOKUP($A6,Inscription!$B$3:$I$137,7)</f>
        <v>X</v>
      </c>
      <c r="F6" s="88">
        <f>IF(E6="X",Inscription!$I$2,1)</f>
        <v>1.05</v>
      </c>
      <c r="G6" s="88">
        <f t="shared" si="0"/>
        <v>17.85</v>
      </c>
      <c r="H6" s="89">
        <f t="shared" si="1"/>
        <v>17.85</v>
      </c>
      <c r="I6" s="85">
        <f>IF(COUNTA(D6),VLOOKUP(C6,Inscription!$C$3:$O$137,13,FALSE),"")</f>
        <v>5.6831149670368295E-06</v>
      </c>
      <c r="J6" s="90">
        <f t="shared" si="3"/>
        <v>17.85000568311497</v>
      </c>
      <c r="K6" s="91">
        <f t="shared" si="4"/>
        <v>14</v>
      </c>
    </row>
    <row r="7" spans="1:11" ht="12.75">
      <c r="A7" s="132">
        <v>5</v>
      </c>
      <c r="B7" s="7">
        <f t="shared" si="2"/>
        <v>10</v>
      </c>
      <c r="C7" s="120" t="str">
        <f>VLOOKUP($A7,Inscription!$B$3:$I$137,2)</f>
        <v>Toufou</v>
      </c>
      <c r="D7" s="5">
        <v>21</v>
      </c>
      <c r="E7" s="87">
        <f>VLOOKUP($A7,Inscription!$B$3:$I$137,7)</f>
      </c>
      <c r="F7" s="88">
        <f>IF(E7="X",Inscription!$I$2,1)</f>
        <v>1</v>
      </c>
      <c r="G7" s="88">
        <f t="shared" si="0"/>
        <v>21</v>
      </c>
      <c r="H7" s="89">
        <f t="shared" si="1"/>
        <v>21</v>
      </c>
      <c r="I7" s="85">
        <f>IF(COUNTA(D7),VLOOKUP(C7,Inscription!$C$3:$O$137,13,FALSE),"")</f>
        <v>4.552869458153605E-06</v>
      </c>
      <c r="J7" s="90">
        <f t="shared" si="3"/>
        <v>21.00000455286946</v>
      </c>
      <c r="K7" s="91">
        <f t="shared" si="4"/>
        <v>10</v>
      </c>
    </row>
    <row r="8" spans="1:11" ht="12.75">
      <c r="A8" s="132">
        <v>6</v>
      </c>
      <c r="B8" s="7">
        <f t="shared" si="2"/>
      </c>
      <c r="C8" s="120" t="str">
        <f>VLOOKUP($A8,Inscription!$B$3:$I$137,2)</f>
        <v>Annulé</v>
      </c>
      <c r="D8" s="5"/>
      <c r="E8" s="87">
        <f>VLOOKUP($A8,Inscription!$B$3:$I$137,7)</f>
      </c>
      <c r="F8" s="88">
        <f>IF(E8="X",Inscription!$I$2,1)</f>
        <v>1</v>
      </c>
      <c r="G8" s="88">
        <f t="shared" si="0"/>
        <v>0</v>
      </c>
      <c r="H8" s="89">
        <f t="shared" si="1"/>
      </c>
      <c r="I8" s="85">
        <f>IF(COUNTA(D8),VLOOKUP(C8,Inscription!$C$3:$O$137,13,FALSE),"")</f>
      </c>
      <c r="J8" s="90">
        <f t="shared" si="3"/>
      </c>
      <c r="K8" s="91">
        <f t="shared" si="4"/>
      </c>
    </row>
    <row r="9" spans="1:11" ht="12.75">
      <c r="A9" s="132">
        <v>7</v>
      </c>
      <c r="B9" s="7">
        <f t="shared" si="2"/>
        <v>6</v>
      </c>
      <c r="C9" s="120" t="str">
        <f>VLOOKUP($A9,Inscription!$B$3:$I$137,2)</f>
        <v>Saumons</v>
      </c>
      <c r="D9" s="5">
        <v>21</v>
      </c>
      <c r="E9" s="87">
        <f>VLOOKUP($A9,Inscription!$B$3:$I$137,7)</f>
      </c>
      <c r="F9" s="88">
        <f>IF(E9="X",Inscription!$I$2,1)</f>
        <v>1</v>
      </c>
      <c r="G9" s="88">
        <f t="shared" si="0"/>
        <v>21</v>
      </c>
      <c r="H9" s="89">
        <f t="shared" si="1"/>
        <v>21</v>
      </c>
      <c r="I9" s="85">
        <f>IF(COUNTA(D9),VLOOKUP(C9,Inscription!$C$3:$O$137,13,FALSE),"")</f>
        <v>5.571612750569522E-06</v>
      </c>
      <c r="J9" s="90">
        <f t="shared" si="3"/>
        <v>21.00000557161275</v>
      </c>
      <c r="K9" s="91">
        <f t="shared" si="4"/>
        <v>6</v>
      </c>
    </row>
    <row r="10" spans="1:11" ht="12.75">
      <c r="A10" s="132">
        <v>8</v>
      </c>
      <c r="B10" s="7">
        <f t="shared" si="2"/>
        <v>18</v>
      </c>
      <c r="C10" s="120" t="str">
        <f>VLOOKUP($A10,Inscription!$B$3:$I$137,2)</f>
        <v>Jaguars</v>
      </c>
      <c r="D10" s="5">
        <v>13</v>
      </c>
      <c r="E10" s="87" t="str">
        <f>VLOOKUP($A10,Inscription!$B$3:$I$137,7)</f>
        <v>X</v>
      </c>
      <c r="F10" s="88">
        <f>IF(E10="X",Inscription!$I$2,1)</f>
        <v>1.05</v>
      </c>
      <c r="G10" s="88">
        <f t="shared" si="0"/>
        <v>13.65</v>
      </c>
      <c r="H10" s="89">
        <f t="shared" si="1"/>
        <v>13.65</v>
      </c>
      <c r="I10" s="85">
        <f>IF(COUNTA(D10),VLOOKUP(C10,Inscription!$C$3:$O$137,13,FALSE),"")</f>
        <v>6.321345668651499E-06</v>
      </c>
      <c r="J10" s="90">
        <f t="shared" si="3"/>
        <v>13.65000632134567</v>
      </c>
      <c r="K10" s="91">
        <f t="shared" si="4"/>
        <v>18</v>
      </c>
    </row>
    <row r="11" spans="1:11" ht="12.75">
      <c r="A11" s="132">
        <v>9</v>
      </c>
      <c r="B11" s="7">
        <f t="shared" si="2"/>
        <v>8</v>
      </c>
      <c r="C11" s="120" t="str">
        <f>VLOOKUP($A11,Inscription!$B$3:$I$137,2)</f>
        <v>Footballeurs</v>
      </c>
      <c r="D11" s="5">
        <v>20</v>
      </c>
      <c r="E11" s="87" t="str">
        <f>VLOOKUP($A11,Inscription!$B$3:$I$137,7)</f>
        <v>X</v>
      </c>
      <c r="F11" s="88">
        <f>IF(E11="X",Inscription!$I$2,1)</f>
        <v>1.05</v>
      </c>
      <c r="G11" s="88">
        <f t="shared" si="0"/>
        <v>21</v>
      </c>
      <c r="H11" s="89">
        <f t="shared" si="1"/>
        <v>21</v>
      </c>
      <c r="I11" s="85">
        <f>IF(COUNTA(D11),VLOOKUP(C11,Inscription!$C$3:$O$137,13,FALSE),"")</f>
        <v>5.054750035628687E-06</v>
      </c>
      <c r="J11" s="90">
        <f t="shared" si="3"/>
        <v>21.000005054750037</v>
      </c>
      <c r="K11" s="91">
        <f t="shared" si="4"/>
        <v>8</v>
      </c>
    </row>
    <row r="12" spans="1:11" ht="12.75">
      <c r="A12" s="132">
        <v>10</v>
      </c>
      <c r="B12" s="7">
        <f t="shared" si="2"/>
        <v>15</v>
      </c>
      <c r="C12" s="120" t="str">
        <f>VLOOKUP($A12,Inscription!$B$3:$I$137,2)</f>
        <v>Big Boss</v>
      </c>
      <c r="D12" s="5">
        <v>17</v>
      </c>
      <c r="E12" s="87">
        <f>VLOOKUP($A12,Inscription!$B$3:$I$137,7)</f>
      </c>
      <c r="F12" s="88">
        <f>IF(E12="X",Inscription!$I$2,1)</f>
        <v>1</v>
      </c>
      <c r="G12" s="88">
        <f t="shared" si="0"/>
        <v>17</v>
      </c>
      <c r="H12" s="89">
        <f t="shared" si="1"/>
        <v>17</v>
      </c>
      <c r="I12" s="85">
        <f>IF(COUNTA(D12),VLOOKUP(C12,Inscription!$C$3:$O$137,13,FALSE),"")</f>
        <v>6.307455982368951E-06</v>
      </c>
      <c r="J12" s="90">
        <f t="shared" si="3"/>
        <v>17.000006307455983</v>
      </c>
      <c r="K12" s="91">
        <f t="shared" si="4"/>
        <v>15</v>
      </c>
    </row>
    <row r="13" spans="1:11" ht="12.75">
      <c r="A13" s="132">
        <v>11</v>
      </c>
      <c r="B13" s="7">
        <f t="shared" si="2"/>
        <v>17</v>
      </c>
      <c r="C13" s="120" t="str">
        <f>VLOOKUP($A13,Inscription!$B$3:$I$137,2)</f>
        <v>Trio</v>
      </c>
      <c r="D13" s="5">
        <v>15</v>
      </c>
      <c r="E13" s="87" t="str">
        <f>VLOOKUP($A13,Inscription!$B$3:$I$137,7)</f>
        <v>X</v>
      </c>
      <c r="F13" s="88">
        <f>IF(E13="X",Inscription!$I$2,1)</f>
        <v>1.05</v>
      </c>
      <c r="G13" s="88">
        <f t="shared" si="0"/>
        <v>15.75</v>
      </c>
      <c r="H13" s="89">
        <f t="shared" si="1"/>
        <v>15.75</v>
      </c>
      <c r="I13" s="85">
        <f>IF(COUNTA(D13),VLOOKUP(C13,Inscription!$C$3:$O$137,13,FALSE),"")</f>
        <v>5.017675473089945E-06</v>
      </c>
      <c r="J13" s="90">
        <f t="shared" si="3"/>
        <v>15.750005017675473</v>
      </c>
      <c r="K13" s="91">
        <f t="shared" si="4"/>
        <v>17</v>
      </c>
    </row>
    <row r="14" spans="1:11" ht="12.75">
      <c r="A14" s="132">
        <v>12</v>
      </c>
      <c r="B14" s="7">
        <f t="shared" si="2"/>
        <v>7</v>
      </c>
      <c r="C14" s="120" t="str">
        <f>VLOOKUP($A14,Inscription!$B$3:$I$137,2)</f>
        <v>Cavalières</v>
      </c>
      <c r="D14" s="5">
        <v>20</v>
      </c>
      <c r="E14" s="87" t="str">
        <f>VLOOKUP($A14,Inscription!$B$3:$I$137,7)</f>
        <v>X</v>
      </c>
      <c r="F14" s="88">
        <f>IF(E14="X",Inscription!$I$2,1)</f>
        <v>1.05</v>
      </c>
      <c r="G14" s="88">
        <f t="shared" si="0"/>
        <v>21</v>
      </c>
      <c r="H14" s="89">
        <f t="shared" si="1"/>
        <v>21</v>
      </c>
      <c r="I14" s="85">
        <f>IF(COUNTA(D14),VLOOKUP(C14,Inscription!$C$3:$O$137,13,FALSE),"")</f>
        <v>5.086858496880742E-06</v>
      </c>
      <c r="J14" s="90">
        <f t="shared" si="3"/>
        <v>21.000005086858497</v>
      </c>
      <c r="K14" s="91">
        <f t="shared" si="4"/>
        <v>7</v>
      </c>
    </row>
    <row r="15" spans="1:11" ht="12.75">
      <c r="A15" s="132">
        <v>13</v>
      </c>
      <c r="B15" s="7">
        <f t="shared" si="2"/>
        <v>13</v>
      </c>
      <c r="C15" s="120" t="str">
        <f>VLOOKUP($A15,Inscription!$B$3:$I$137,2)</f>
        <v>Aigles Bleus</v>
      </c>
      <c r="D15" s="5">
        <v>18</v>
      </c>
      <c r="E15" s="87">
        <f>VLOOKUP($A15,Inscription!$B$3:$I$137,7)</f>
      </c>
      <c r="F15" s="88">
        <f>IF(E15="X",Inscription!$I$2,1)</f>
        <v>1</v>
      </c>
      <c r="G15" s="88">
        <f t="shared" si="0"/>
        <v>18</v>
      </c>
      <c r="H15" s="89">
        <f t="shared" si="1"/>
        <v>18</v>
      </c>
      <c r="I15" s="85">
        <f>IF(COUNTA(D15),VLOOKUP(C15,Inscription!$C$3:$O$137,13,FALSE),"")</f>
        <v>4.845891759131298E-06</v>
      </c>
      <c r="J15" s="90">
        <f t="shared" si="3"/>
        <v>18.00000484589176</v>
      </c>
      <c r="K15" s="91">
        <f t="shared" si="4"/>
        <v>13</v>
      </c>
    </row>
    <row r="16" spans="1:11" ht="12.75">
      <c r="A16" s="132">
        <v>14</v>
      </c>
      <c r="B16" s="7">
        <f aca="true" t="shared" si="5" ref="B16:B28">K16</f>
        <v>16</v>
      </c>
      <c r="C16" s="120" t="str">
        <f>VLOOKUP($A16,Inscription!$B$3:$I$137,2)</f>
        <v>Flammes Noires</v>
      </c>
      <c r="D16" s="5">
        <v>16</v>
      </c>
      <c r="E16" s="87" t="str">
        <f>VLOOKUP($A16,Inscription!$B$3:$I$137,7)</f>
        <v>X</v>
      </c>
      <c r="F16" s="88">
        <f>IF(E16="X",Inscription!$I$2,1)</f>
        <v>1.05</v>
      </c>
      <c r="G16" s="88">
        <f aca="true" t="shared" si="6" ref="G16:G28">D16*F16</f>
        <v>16.8</v>
      </c>
      <c r="H16" s="89">
        <f aca="true" t="shared" si="7" ref="H16:H28">IF(D16=0,"",IF(G16&gt;30,30,G16))</f>
        <v>16.8</v>
      </c>
      <c r="I16" s="85">
        <f>IF(COUNTA(D16),VLOOKUP(C16,Inscription!$C$3:$O$137,13,FALSE),"")</f>
        <v>5.194119081985949E-06</v>
      </c>
      <c r="J16" s="90">
        <f aca="true" t="shared" si="8" ref="J16:J28">IF(COUNTA(D16),H16+I16,"")</f>
        <v>16.800005194119084</v>
      </c>
      <c r="K16" s="91">
        <f aca="true" t="shared" si="9" ref="K16:K28">IF(COUNTA(D16),RANK(J16,$J$3:$J$47,0),"")</f>
        <v>16</v>
      </c>
    </row>
    <row r="17" spans="1:11" ht="12.75">
      <c r="A17" s="132">
        <v>15</v>
      </c>
      <c r="B17" s="7">
        <f t="shared" si="5"/>
        <v>4</v>
      </c>
      <c r="C17" s="120" t="str">
        <f>VLOOKUP($A17,Inscription!$B$3:$I$137,2)</f>
        <v>Ch'tis</v>
      </c>
      <c r="D17" s="5">
        <v>22</v>
      </c>
      <c r="E17" s="87">
        <f>VLOOKUP($A17,Inscription!$B$3:$I$137,7)</f>
      </c>
      <c r="F17" s="88">
        <f>IF(E17="X",Inscription!$I$2,1)</f>
        <v>1</v>
      </c>
      <c r="G17" s="88">
        <f t="shared" si="6"/>
        <v>22</v>
      </c>
      <c r="H17" s="89">
        <f t="shared" si="7"/>
        <v>22</v>
      </c>
      <c r="I17" s="85">
        <f>IF(COUNTA(D17),VLOOKUP(C17,Inscription!$C$3:$O$137,13,FALSE),"")</f>
        <v>4.246413812267315E-06</v>
      </c>
      <c r="J17" s="90">
        <f t="shared" si="8"/>
        <v>22.000004246413813</v>
      </c>
      <c r="K17" s="91">
        <f t="shared" si="9"/>
        <v>4</v>
      </c>
    </row>
    <row r="18" spans="1:11" ht="12.75">
      <c r="A18" s="132">
        <v>16</v>
      </c>
      <c r="B18" s="7">
        <f t="shared" si="5"/>
        <v>12</v>
      </c>
      <c r="C18" s="120" t="str">
        <f>VLOOKUP($A18,Inscription!$B$3:$I$137,2)</f>
        <v>Best Ones</v>
      </c>
      <c r="D18" s="5">
        <v>18</v>
      </c>
      <c r="E18" s="87" t="str">
        <f>VLOOKUP($A18,Inscription!$B$3:$I$137,7)</f>
        <v>X</v>
      </c>
      <c r="F18" s="88">
        <f>IF(E18="X",Inscription!$I$2,1)</f>
        <v>1.05</v>
      </c>
      <c r="G18" s="88">
        <f t="shared" si="6"/>
        <v>18.900000000000002</v>
      </c>
      <c r="H18" s="89">
        <f t="shared" si="7"/>
        <v>18.900000000000002</v>
      </c>
      <c r="I18" s="85">
        <f>IF(COUNTA(D18),VLOOKUP(C18,Inscription!$C$3:$O$137,13,FALSE),"")</f>
        <v>5.7255723354972515E-06</v>
      </c>
      <c r="J18" s="90">
        <f t="shared" si="8"/>
        <v>18.90000572557234</v>
      </c>
      <c r="K18" s="91">
        <f t="shared" si="9"/>
        <v>12</v>
      </c>
    </row>
    <row r="19" spans="1:11" ht="12.75">
      <c r="A19" s="132">
        <v>17</v>
      </c>
      <c r="B19" s="7">
        <f t="shared" si="5"/>
        <v>5</v>
      </c>
      <c r="C19" s="120" t="str">
        <f>VLOOKUP($A19,Inscription!$B$3:$I$137,2)</f>
        <v>Tontons flingueurs</v>
      </c>
      <c r="D19" s="5">
        <v>21</v>
      </c>
      <c r="E19" s="87">
        <f>VLOOKUP($A19,Inscription!$B$3:$I$137,7)</f>
      </c>
      <c r="F19" s="88">
        <f>IF(E19="X",Inscription!$I$2,1)</f>
        <v>1</v>
      </c>
      <c r="G19" s="88">
        <f t="shared" si="6"/>
        <v>21</v>
      </c>
      <c r="H19" s="89">
        <f t="shared" si="7"/>
        <v>21</v>
      </c>
      <c r="I19" s="85">
        <f>IF(COUNTA(D19),VLOOKUP(C19,Inscription!$C$3:$O$137,13,FALSE),"")</f>
        <v>6.120430495768291E-06</v>
      </c>
      <c r="J19" s="90">
        <f t="shared" si="8"/>
        <v>21.000006120430495</v>
      </c>
      <c r="K19" s="91">
        <f t="shared" si="9"/>
        <v>5</v>
      </c>
    </row>
    <row r="20" spans="1:11" ht="12.75">
      <c r="A20" s="132">
        <v>18</v>
      </c>
      <c r="B20" s="7">
        <f t="shared" si="5"/>
        <v>9</v>
      </c>
      <c r="C20" s="120" t="str">
        <f>VLOOKUP($A20,Inscription!$B$3:$I$137,2)</f>
        <v>Twisters</v>
      </c>
      <c r="D20" s="5">
        <v>20</v>
      </c>
      <c r="E20" s="87" t="str">
        <f>VLOOKUP($A20,Inscription!$B$3:$I$137,7)</f>
        <v>X</v>
      </c>
      <c r="F20" s="88">
        <f>IF(E20="X",Inscription!$I$2,1)</f>
        <v>1.05</v>
      </c>
      <c r="G20" s="88">
        <f t="shared" si="6"/>
        <v>21</v>
      </c>
      <c r="H20" s="89">
        <f t="shared" si="7"/>
        <v>21</v>
      </c>
      <c r="I20" s="85">
        <f>IF(COUNTA(D20),VLOOKUP(C20,Inscription!$C$3:$O$137,13,FALSE),"")</f>
        <v>4.758288117778342E-06</v>
      </c>
      <c r="J20" s="90">
        <f t="shared" si="8"/>
        <v>21.000004758288117</v>
      </c>
      <c r="K20" s="91">
        <f t="shared" si="9"/>
        <v>9</v>
      </c>
    </row>
    <row r="21" spans="1:11" ht="12.75">
      <c r="A21" s="132">
        <v>19</v>
      </c>
      <c r="B21" s="7">
        <f t="shared" si="5"/>
        <v>2</v>
      </c>
      <c r="C21" s="120" t="str">
        <f>VLOOKUP($A21,Inscription!$B$3:$I$137,2)</f>
        <v>Aigles d'or</v>
      </c>
      <c r="D21" s="5">
        <v>23</v>
      </c>
      <c r="E21" s="87">
        <f>VLOOKUP($A21,Inscription!$B$3:$I$137,7)</f>
      </c>
      <c r="F21" s="88">
        <f>IF(E21="X",Inscription!$I$2,1)</f>
        <v>1</v>
      </c>
      <c r="G21" s="88">
        <f t="shared" si="6"/>
        <v>23</v>
      </c>
      <c r="H21" s="89">
        <f t="shared" si="7"/>
        <v>23</v>
      </c>
      <c r="I21" s="85">
        <f>IF(COUNTA(D21),VLOOKUP(C21,Inscription!$C$3:$O$137,13,FALSE),"")</f>
        <v>5.08206312405054E-06</v>
      </c>
      <c r="J21" s="90">
        <f t="shared" si="8"/>
        <v>23.000005082063122</v>
      </c>
      <c r="K21" s="91">
        <f t="shared" si="9"/>
        <v>2</v>
      </c>
    </row>
    <row r="22" spans="1:11" ht="12.75">
      <c r="A22" s="132">
        <v>20</v>
      </c>
      <c r="B22" s="7">
        <f t="shared" si="5"/>
      </c>
      <c r="C22" s="120">
        <f>VLOOKUP($A22,Inscription!$B$3:$I$137,2)</f>
        <v>0</v>
      </c>
      <c r="D22" s="5"/>
      <c r="E22" s="87">
        <f>VLOOKUP($A22,Inscription!$B$3:$I$137,7)</f>
      </c>
      <c r="F22" s="88">
        <f>IF(E22="X",Inscription!$I$2,1)</f>
        <v>1</v>
      </c>
      <c r="G22" s="88">
        <f t="shared" si="6"/>
        <v>0</v>
      </c>
      <c r="H22" s="89">
        <f t="shared" si="7"/>
      </c>
      <c r="I22" s="85">
        <f>IF(COUNTA(D22),VLOOKUP(C22,Inscription!$C$3:$O$137,13,FALSE),"")</f>
      </c>
      <c r="J22" s="90">
        <f t="shared" si="8"/>
      </c>
      <c r="K22" s="91">
        <f t="shared" si="9"/>
      </c>
    </row>
    <row r="23" spans="1:11" ht="12.75">
      <c r="A23" s="132">
        <v>21</v>
      </c>
      <c r="B23" s="7">
        <f t="shared" si="5"/>
      </c>
      <c r="C23" s="120">
        <f>VLOOKUP($A23,Inscription!$B$3:$I$137,2)</f>
        <v>0</v>
      </c>
      <c r="D23" s="5"/>
      <c r="E23" s="87">
        <f>VLOOKUP($A23,Inscription!$B$3:$I$137,7)</f>
      </c>
      <c r="F23" s="88">
        <f>IF(E23="X",Inscription!$I$2,1)</f>
        <v>1</v>
      </c>
      <c r="G23" s="88">
        <f t="shared" si="6"/>
        <v>0</v>
      </c>
      <c r="H23" s="89">
        <f t="shared" si="7"/>
      </c>
      <c r="I23" s="85">
        <f>IF(COUNTA(D23),VLOOKUP(C23,Inscription!$C$3:$O$137,13,FALSE),"")</f>
      </c>
      <c r="J23" s="90">
        <f t="shared" si="8"/>
      </c>
      <c r="K23" s="91">
        <f t="shared" si="9"/>
      </c>
    </row>
    <row r="24" spans="1:11" ht="12.75">
      <c r="A24" s="132">
        <v>22</v>
      </c>
      <c r="B24" s="7">
        <f t="shared" si="5"/>
      </c>
      <c r="C24" s="120">
        <f>VLOOKUP($A24,Inscription!$B$3:$I$137,2)</f>
        <v>0</v>
      </c>
      <c r="D24" s="5"/>
      <c r="E24" s="87">
        <f>VLOOKUP($A24,Inscription!$B$3:$I$137,7)</f>
      </c>
      <c r="F24" s="88">
        <f>IF(E24="X",Inscription!$I$2,1)</f>
        <v>1</v>
      </c>
      <c r="G24" s="88">
        <f t="shared" si="6"/>
        <v>0</v>
      </c>
      <c r="H24" s="89">
        <f t="shared" si="7"/>
      </c>
      <c r="I24" s="85">
        <f>IF(COUNTA(D24),VLOOKUP(C24,Inscription!$C$3:$O$137,13,FALSE),"")</f>
      </c>
      <c r="J24" s="90">
        <f t="shared" si="8"/>
      </c>
      <c r="K24" s="91">
        <f t="shared" si="9"/>
      </c>
    </row>
    <row r="25" spans="1:11" ht="12.75">
      <c r="A25" s="132">
        <v>23</v>
      </c>
      <c r="B25" s="7">
        <f t="shared" si="5"/>
      </c>
      <c r="C25" s="120">
        <f>VLOOKUP($A25,Inscription!$B$3:$I$137,2)</f>
        <v>0</v>
      </c>
      <c r="D25" s="5"/>
      <c r="E25" s="87">
        <f>VLOOKUP($A25,Inscription!$B$3:$I$137,7)</f>
      </c>
      <c r="F25" s="88">
        <f>IF(E25="X",Inscription!$I$2,1)</f>
        <v>1</v>
      </c>
      <c r="G25" s="88">
        <f t="shared" si="6"/>
        <v>0</v>
      </c>
      <c r="H25" s="89">
        <f t="shared" si="7"/>
      </c>
      <c r="I25" s="85">
        <f>IF(COUNTA(D25),VLOOKUP(C25,Inscription!$C$3:$O$137,13,FALSE),"")</f>
      </c>
      <c r="J25" s="90">
        <f t="shared" si="8"/>
      </c>
      <c r="K25" s="91">
        <f t="shared" si="9"/>
      </c>
    </row>
    <row r="26" spans="1:11" ht="12.75">
      <c r="A26" s="132">
        <v>24</v>
      </c>
      <c r="B26" s="7">
        <f t="shared" si="5"/>
      </c>
      <c r="C26" s="120">
        <f>VLOOKUP($A26,Inscription!$B$3:$I$137,2)</f>
        <v>0</v>
      </c>
      <c r="D26" s="5"/>
      <c r="E26" s="87">
        <f>VLOOKUP($A26,Inscription!$B$3:$I$137,7)</f>
      </c>
      <c r="F26" s="88">
        <f>IF(E26="X",Inscription!$I$2,1)</f>
        <v>1</v>
      </c>
      <c r="G26" s="88">
        <f t="shared" si="6"/>
        <v>0</v>
      </c>
      <c r="H26" s="89">
        <f t="shared" si="7"/>
      </c>
      <c r="I26" s="85">
        <f>IF(COUNTA(D26),VLOOKUP(C26,Inscription!$C$3:$O$137,13,FALSE),"")</f>
      </c>
      <c r="J26" s="90">
        <f t="shared" si="8"/>
      </c>
      <c r="K26" s="91">
        <f t="shared" si="9"/>
      </c>
    </row>
    <row r="27" spans="1:11" ht="12.75">
      <c r="A27" s="132">
        <v>25</v>
      </c>
      <c r="B27" s="7">
        <f t="shared" si="5"/>
      </c>
      <c r="C27" s="120">
        <f>VLOOKUP($A27,Inscription!$B$3:$I$137,2)</f>
        <v>0</v>
      </c>
      <c r="D27" s="5"/>
      <c r="E27" s="87">
        <f>VLOOKUP($A27,Inscription!$B$3:$I$137,7)</f>
      </c>
      <c r="F27" s="88">
        <f>IF(E27="X",Inscription!$I$2,1)</f>
        <v>1</v>
      </c>
      <c r="G27" s="88">
        <f t="shared" si="6"/>
        <v>0</v>
      </c>
      <c r="H27" s="89">
        <f t="shared" si="7"/>
      </c>
      <c r="I27" s="85">
        <f>IF(COUNTA(D27),VLOOKUP(C27,Inscription!$C$3:$O$137,13,FALSE),"")</f>
      </c>
      <c r="J27" s="90">
        <f t="shared" si="8"/>
      </c>
      <c r="K27" s="91">
        <f t="shared" si="9"/>
      </c>
    </row>
    <row r="28" spans="1:11" ht="12.75">
      <c r="A28" s="132">
        <v>26</v>
      </c>
      <c r="B28" s="7">
        <f t="shared" si="5"/>
      </c>
      <c r="C28" s="120">
        <f>VLOOKUP($A28,Inscription!$B$3:$I$137,2)</f>
        <v>0</v>
      </c>
      <c r="D28" s="5"/>
      <c r="E28" s="87">
        <f>VLOOKUP($A28,Inscription!$B$3:$I$137,7)</f>
      </c>
      <c r="F28" s="88">
        <f>IF(E28="X",Inscription!$I$2,1)</f>
        <v>1</v>
      </c>
      <c r="G28" s="88">
        <f t="shared" si="6"/>
        <v>0</v>
      </c>
      <c r="H28" s="89">
        <f t="shared" si="7"/>
      </c>
      <c r="I28" s="85">
        <f>IF(COUNTA(D28),VLOOKUP(C28,Inscription!$C$3:$O$137,13,FALSE),"")</f>
      </c>
      <c r="J28" s="90">
        <f t="shared" si="8"/>
      </c>
      <c r="K28" s="91">
        <f t="shared" si="9"/>
      </c>
    </row>
    <row r="29" spans="1:11" ht="12.75">
      <c r="A29" s="132">
        <v>27</v>
      </c>
      <c r="B29" s="7">
        <f t="shared" si="2"/>
      </c>
      <c r="C29" s="120">
        <f>VLOOKUP($A29,Inscription!$B$3:$I$137,2)</f>
        <v>0</v>
      </c>
      <c r="D29" s="5"/>
      <c r="E29" s="87">
        <f>VLOOKUP($A29,Inscription!$B$3:$I$137,7)</f>
      </c>
      <c r="F29" s="88">
        <f>IF(E29="X",Inscription!$I$2,1)</f>
        <v>1</v>
      </c>
      <c r="G29" s="88">
        <f t="shared" si="0"/>
        <v>0</v>
      </c>
      <c r="H29" s="89">
        <f t="shared" si="1"/>
      </c>
      <c r="I29" s="85">
        <f>IF(COUNTA(D29),VLOOKUP(C29,Inscription!$C$3:$O$137,13,FALSE),"")</f>
      </c>
      <c r="J29" s="90">
        <f t="shared" si="3"/>
      </c>
      <c r="K29" s="91">
        <f t="shared" si="4"/>
      </c>
    </row>
    <row r="30" spans="1:11" ht="12.75">
      <c r="A30" s="132">
        <v>28</v>
      </c>
      <c r="B30" s="7">
        <f t="shared" si="2"/>
      </c>
      <c r="C30" s="120">
        <f>VLOOKUP($A30,Inscription!$B$3:$I$137,2)</f>
        <v>0</v>
      </c>
      <c r="D30" s="5"/>
      <c r="E30" s="87">
        <f>VLOOKUP($A30,Inscription!$B$3:$I$137,7)</f>
      </c>
      <c r="F30" s="88">
        <f>IF(E30="X",Inscription!$I$2,1)</f>
        <v>1</v>
      </c>
      <c r="G30" s="88">
        <f t="shared" si="0"/>
        <v>0</v>
      </c>
      <c r="H30" s="89">
        <f t="shared" si="1"/>
      </c>
      <c r="I30" s="85">
        <f>IF(COUNTA(D30),VLOOKUP(C30,Inscription!$C$3:$O$137,13,FALSE),"")</f>
      </c>
      <c r="J30" s="90">
        <f t="shared" si="3"/>
      </c>
      <c r="K30" s="91">
        <f t="shared" si="4"/>
      </c>
    </row>
    <row r="31" spans="1:11" ht="12.75">
      <c r="A31" s="132">
        <v>29</v>
      </c>
      <c r="B31" s="7">
        <f t="shared" si="2"/>
      </c>
      <c r="C31" s="120">
        <f>VLOOKUP($A31,Inscription!$B$3:$I$137,2)</f>
        <v>0</v>
      </c>
      <c r="D31" s="5"/>
      <c r="E31" s="87">
        <f>VLOOKUP($A31,Inscription!$B$3:$I$137,7)</f>
      </c>
      <c r="F31" s="88">
        <f>IF(E31="X",Inscription!$I$2,1)</f>
        <v>1</v>
      </c>
      <c r="G31" s="88">
        <f t="shared" si="0"/>
        <v>0</v>
      </c>
      <c r="H31" s="89">
        <f t="shared" si="1"/>
      </c>
      <c r="I31" s="85">
        <f>IF(COUNTA(D31),VLOOKUP(C31,Inscription!$C$3:$O$137,13,FALSE),"")</f>
      </c>
      <c r="J31" s="90">
        <f t="shared" si="3"/>
      </c>
      <c r="K31" s="91">
        <f t="shared" si="4"/>
      </c>
    </row>
    <row r="32" spans="1:11" ht="12.75">
      <c r="A32" s="132">
        <v>30</v>
      </c>
      <c r="B32" s="7">
        <f t="shared" si="2"/>
      </c>
      <c r="C32" s="120">
        <f>VLOOKUP($A32,Inscription!$B$3:$I$137,2)</f>
        <v>0</v>
      </c>
      <c r="D32" s="5"/>
      <c r="E32" s="87">
        <f>VLOOKUP($A32,Inscription!$B$3:$I$137,7)</f>
      </c>
      <c r="F32" s="88">
        <f>IF(E32="X",Inscription!$I$2,1)</f>
        <v>1</v>
      </c>
      <c r="G32" s="88">
        <f t="shared" si="0"/>
        <v>0</v>
      </c>
      <c r="H32" s="89">
        <f t="shared" si="1"/>
      </c>
      <c r="I32" s="85">
        <f>IF(COUNTA(D32),VLOOKUP(C32,Inscription!$C$3:$O$137,13,FALSE),"")</f>
      </c>
      <c r="J32" s="90">
        <f t="shared" si="3"/>
      </c>
      <c r="K32" s="91">
        <f t="shared" si="4"/>
      </c>
    </row>
    <row r="33" spans="1:11" ht="12.75">
      <c r="A33" s="132">
        <v>31</v>
      </c>
      <c r="B33" s="7">
        <f t="shared" si="2"/>
      </c>
      <c r="C33" s="120">
        <f>VLOOKUP($A33,Inscription!$B$3:$I$137,2)</f>
        <v>0</v>
      </c>
      <c r="D33" s="5"/>
      <c r="E33" s="87">
        <f>VLOOKUP($A33,Inscription!$B$3:$I$137,7)</f>
      </c>
      <c r="F33" s="88">
        <f>IF(E33="X",Inscription!$I$2,1)</f>
        <v>1</v>
      </c>
      <c r="G33" s="88">
        <f t="shared" si="0"/>
        <v>0</v>
      </c>
      <c r="H33" s="89">
        <f t="shared" si="1"/>
      </c>
      <c r="I33" s="85">
        <f>IF(COUNTA(D33),VLOOKUP(C33,Inscription!$C$3:$O$137,13,FALSE),"")</f>
      </c>
      <c r="J33" s="90">
        <f t="shared" si="3"/>
      </c>
      <c r="K33" s="91">
        <f t="shared" si="4"/>
      </c>
    </row>
    <row r="34" spans="1:11" ht="12.75">
      <c r="A34" s="132">
        <v>32</v>
      </c>
      <c r="B34" s="7">
        <f t="shared" si="2"/>
      </c>
      <c r="C34" s="120">
        <f>VLOOKUP($A34,Inscription!$B$3:$I$137,2)</f>
        <v>0</v>
      </c>
      <c r="D34" s="5"/>
      <c r="E34" s="87">
        <f>VLOOKUP($A34,Inscription!$B$3:$I$137,7)</f>
      </c>
      <c r="F34" s="88">
        <f>IF(E34="X",Inscription!$I$2,1)</f>
        <v>1</v>
      </c>
      <c r="G34" s="88">
        <f t="shared" si="0"/>
        <v>0</v>
      </c>
      <c r="H34" s="89">
        <f t="shared" si="1"/>
      </c>
      <c r="I34" s="85">
        <f>IF(COUNTA(D34),VLOOKUP(C34,Inscription!$C$3:$O$137,13,FALSE),"")</f>
      </c>
      <c r="J34" s="90">
        <f t="shared" si="3"/>
      </c>
      <c r="K34" s="91">
        <f t="shared" si="4"/>
      </c>
    </row>
    <row r="35" spans="1:11" ht="12.75">
      <c r="A35" s="132">
        <v>33</v>
      </c>
      <c r="B35" s="7">
        <f t="shared" si="2"/>
      </c>
      <c r="C35" s="120">
        <f>VLOOKUP($A35,Inscription!$B$3:$I$137,2)</f>
        <v>0</v>
      </c>
      <c r="D35" s="5"/>
      <c r="E35" s="87">
        <f>VLOOKUP($A35,Inscription!$B$3:$I$137,7)</f>
      </c>
      <c r="F35" s="88">
        <f>IF(E35="X",Inscription!$I$2,1)</f>
        <v>1</v>
      </c>
      <c r="G35" s="88">
        <f t="shared" si="0"/>
        <v>0</v>
      </c>
      <c r="H35" s="89">
        <f t="shared" si="1"/>
      </c>
      <c r="I35" s="85">
        <f>IF(COUNTA(D35),VLOOKUP(C35,Inscription!$C$3:$O$137,13,FALSE),"")</f>
      </c>
      <c r="J35" s="90">
        <f t="shared" si="3"/>
      </c>
      <c r="K35" s="91">
        <f t="shared" si="4"/>
      </c>
    </row>
    <row r="36" spans="1:11" ht="12.75">
      <c r="A36" s="132">
        <v>34</v>
      </c>
      <c r="B36" s="7">
        <f t="shared" si="2"/>
      </c>
      <c r="C36" s="120">
        <f>VLOOKUP($A36,Inscription!$B$3:$I$137,2)</f>
        <v>0</v>
      </c>
      <c r="D36" s="5"/>
      <c r="E36" s="87">
        <f>VLOOKUP($A36,Inscription!$B$3:$I$137,7)</f>
      </c>
      <c r="F36" s="88">
        <f>IF(E36="X",Inscription!$I$2,1)</f>
        <v>1</v>
      </c>
      <c r="G36" s="88">
        <f t="shared" si="0"/>
        <v>0</v>
      </c>
      <c r="H36" s="89">
        <f t="shared" si="1"/>
      </c>
      <c r="I36" s="85">
        <f>IF(COUNTA(D36),VLOOKUP(C36,Inscription!$C$3:$O$137,13,FALSE),"")</f>
      </c>
      <c r="J36" s="90">
        <f t="shared" si="3"/>
      </c>
      <c r="K36" s="91">
        <f t="shared" si="4"/>
      </c>
    </row>
    <row r="37" spans="1:11" ht="12.75">
      <c r="A37" s="132">
        <v>35</v>
      </c>
      <c r="B37" s="7">
        <f t="shared" si="2"/>
      </c>
      <c r="C37" s="120">
        <f>VLOOKUP($A37,Inscription!$B$3:$I$137,2)</f>
        <v>0</v>
      </c>
      <c r="D37" s="5"/>
      <c r="E37" s="87">
        <f>VLOOKUP($A37,Inscription!$B$3:$I$137,7)</f>
      </c>
      <c r="F37" s="88">
        <f>IF(E37="X",Inscription!$I$2,1)</f>
        <v>1</v>
      </c>
      <c r="G37" s="88">
        <f t="shared" si="0"/>
        <v>0</v>
      </c>
      <c r="H37" s="89">
        <f t="shared" si="1"/>
      </c>
      <c r="I37" s="85">
        <f>IF(COUNTA(D37),VLOOKUP(C37,Inscription!$C$3:$O$137,13,FALSE),"")</f>
      </c>
      <c r="J37" s="90">
        <f t="shared" si="3"/>
      </c>
      <c r="K37" s="91">
        <f t="shared" si="4"/>
      </c>
    </row>
    <row r="38" spans="1:11" ht="12.75">
      <c r="A38" s="132">
        <v>36</v>
      </c>
      <c r="B38" s="7">
        <f t="shared" si="2"/>
      </c>
      <c r="C38" s="120">
        <f>VLOOKUP($A38,Inscription!$B$3:$I$137,2)</f>
        <v>0</v>
      </c>
      <c r="D38" s="5"/>
      <c r="E38" s="87">
        <f>VLOOKUP($A38,Inscription!$B$3:$I$137,7)</f>
      </c>
      <c r="F38" s="88">
        <f>IF(E38="X",Inscription!$I$2,1)</f>
        <v>1</v>
      </c>
      <c r="G38" s="88">
        <f t="shared" si="0"/>
        <v>0</v>
      </c>
      <c r="H38" s="89">
        <f t="shared" si="1"/>
      </c>
      <c r="I38" s="85">
        <f>IF(COUNTA(D38),VLOOKUP(C38,Inscription!$C$3:$O$137,13,FALSE),"")</f>
      </c>
      <c r="J38" s="90">
        <f t="shared" si="3"/>
      </c>
      <c r="K38" s="91">
        <f t="shared" si="4"/>
      </c>
    </row>
    <row r="39" spans="1:11" ht="12.75">
      <c r="A39" s="132">
        <v>37</v>
      </c>
      <c r="B39" s="7">
        <f t="shared" si="2"/>
      </c>
      <c r="C39" s="120">
        <f>VLOOKUP($A39,Inscription!$B$3:$I$137,2)</f>
        <v>0</v>
      </c>
      <c r="D39" s="5"/>
      <c r="E39" s="87">
        <f>VLOOKUP($A39,Inscription!$B$3:$I$137,7)</f>
      </c>
      <c r="F39" s="88">
        <f>IF(E39="X",Inscription!$I$2,1)</f>
        <v>1</v>
      </c>
      <c r="G39" s="88">
        <f t="shared" si="0"/>
        <v>0</v>
      </c>
      <c r="H39" s="89">
        <f t="shared" si="1"/>
      </c>
      <c r="I39" s="85">
        <f>IF(COUNTA(D39),VLOOKUP(C39,Inscription!$C$3:$O$137,13,FALSE),"")</f>
      </c>
      <c r="J39" s="90">
        <f t="shared" si="3"/>
      </c>
      <c r="K39" s="91">
        <f t="shared" si="4"/>
      </c>
    </row>
    <row r="40" spans="1:11" ht="12.75">
      <c r="A40" s="132">
        <v>38</v>
      </c>
      <c r="B40" s="7">
        <f t="shared" si="2"/>
      </c>
      <c r="C40" s="120">
        <f>VLOOKUP($A40,Inscription!$B$3:$I$137,2)</f>
        <v>0</v>
      </c>
      <c r="D40" s="5"/>
      <c r="E40" s="87">
        <f>VLOOKUP($A40,Inscription!$B$3:$I$137,7)</f>
      </c>
      <c r="F40" s="88">
        <f>IF(E40="X",Inscription!$I$2,1)</f>
        <v>1</v>
      </c>
      <c r="G40" s="88">
        <f t="shared" si="0"/>
        <v>0</v>
      </c>
      <c r="H40" s="89">
        <f t="shared" si="1"/>
      </c>
      <c r="I40" s="85">
        <f>IF(COUNTA(D40),VLOOKUP(C40,Inscription!$C$3:$O$137,13,FALSE),"")</f>
      </c>
      <c r="J40" s="90">
        <f t="shared" si="3"/>
      </c>
      <c r="K40" s="91">
        <f t="shared" si="4"/>
      </c>
    </row>
    <row r="41" spans="1:11" ht="12.75">
      <c r="A41" s="132">
        <v>39</v>
      </c>
      <c r="B41" s="7">
        <f t="shared" si="2"/>
      </c>
      <c r="C41" s="120">
        <f>VLOOKUP($A41,Inscription!$B$3:$I$137,2)</f>
        <v>0</v>
      </c>
      <c r="D41" s="5"/>
      <c r="E41" s="87">
        <f>VLOOKUP($A41,Inscription!$B$3:$I$137,7)</f>
      </c>
      <c r="F41" s="88">
        <f>IF(E41="X",Inscription!$I$2,1)</f>
        <v>1</v>
      </c>
      <c r="G41" s="88">
        <f t="shared" si="0"/>
        <v>0</v>
      </c>
      <c r="H41" s="89">
        <f t="shared" si="1"/>
      </c>
      <c r="I41" s="85">
        <f>IF(COUNTA(D41),VLOOKUP(C41,Inscription!$C$3:$O$137,13,FALSE),"")</f>
      </c>
      <c r="J41" s="90">
        <f t="shared" si="3"/>
      </c>
      <c r="K41" s="91">
        <f t="shared" si="4"/>
      </c>
    </row>
    <row r="42" spans="1:11" ht="12.75">
      <c r="A42" s="132">
        <v>40</v>
      </c>
      <c r="B42" s="7">
        <f t="shared" si="2"/>
      </c>
      <c r="C42" s="120">
        <f>VLOOKUP($A42,Inscription!$B$3:$I$137,2)</f>
        <v>0</v>
      </c>
      <c r="D42" s="5"/>
      <c r="E42" s="87">
        <f>VLOOKUP($A42,Inscription!$B$3:$I$137,7)</f>
      </c>
      <c r="F42" s="88">
        <f>IF(E42="X",Inscription!$I$2,1)</f>
        <v>1</v>
      </c>
      <c r="G42" s="88">
        <f t="shared" si="0"/>
        <v>0</v>
      </c>
      <c r="H42" s="89">
        <f t="shared" si="1"/>
      </c>
      <c r="I42" s="85">
        <f>IF(COUNTA(D42),VLOOKUP(C42,Inscription!$C$3:$O$137,13,FALSE),"")</f>
      </c>
      <c r="J42" s="90">
        <f t="shared" si="3"/>
      </c>
      <c r="K42" s="91">
        <f t="shared" si="4"/>
      </c>
    </row>
    <row r="43" spans="1:11" ht="12.75">
      <c r="A43" s="132">
        <v>41</v>
      </c>
      <c r="B43" s="7">
        <f t="shared" si="2"/>
      </c>
      <c r="C43" s="120">
        <f>VLOOKUP($A43,Inscription!$B$3:$I$137,2)</f>
        <v>0</v>
      </c>
      <c r="D43" s="5"/>
      <c r="E43" s="87">
        <f>VLOOKUP($A43,Inscription!$B$3:$I$137,7)</f>
      </c>
      <c r="F43" s="88">
        <f>IF(E43="X",Inscription!$I$2,1)</f>
        <v>1</v>
      </c>
      <c r="G43" s="88">
        <f t="shared" si="0"/>
        <v>0</v>
      </c>
      <c r="H43" s="89">
        <f t="shared" si="1"/>
      </c>
      <c r="I43" s="85">
        <f>IF(COUNTA(D43),VLOOKUP(C43,Inscription!$C$3:$O$137,13,FALSE),"")</f>
      </c>
      <c r="J43" s="90">
        <f t="shared" si="3"/>
      </c>
      <c r="K43" s="91">
        <f t="shared" si="4"/>
      </c>
    </row>
    <row r="44" spans="1:11" ht="12.75">
      <c r="A44" s="132">
        <v>42</v>
      </c>
      <c r="B44" s="7">
        <f t="shared" si="2"/>
      </c>
      <c r="C44" s="120">
        <f>VLOOKUP($A44,Inscription!$B$3:$I$137,2)</f>
        <v>0</v>
      </c>
      <c r="D44" s="5"/>
      <c r="E44" s="87">
        <f>VLOOKUP($A44,Inscription!$B$3:$I$137,7)</f>
      </c>
      <c r="F44" s="88">
        <f>IF(E44="X",Inscription!$I$2,1)</f>
        <v>1</v>
      </c>
      <c r="G44" s="88">
        <f t="shared" si="0"/>
        <v>0</v>
      </c>
      <c r="H44" s="89">
        <f t="shared" si="1"/>
      </c>
      <c r="I44" s="85">
        <f>IF(COUNTA(D44),VLOOKUP(C44,Inscription!$C$3:$O$137,13,FALSE),"")</f>
      </c>
      <c r="J44" s="90">
        <f t="shared" si="3"/>
      </c>
      <c r="K44" s="91">
        <f t="shared" si="4"/>
      </c>
    </row>
    <row r="45" spans="1:11" ht="12.75">
      <c r="A45" s="132">
        <v>43</v>
      </c>
      <c r="B45" s="7">
        <f t="shared" si="2"/>
      </c>
      <c r="C45" s="120">
        <f>VLOOKUP($A45,Inscription!$B$3:$I$137,2)</f>
        <v>0</v>
      </c>
      <c r="D45" s="5"/>
      <c r="E45" s="87">
        <f>VLOOKUP($A45,Inscription!$B$3:$I$137,7)</f>
      </c>
      <c r="F45" s="88">
        <f>IF(E45="X",Inscription!$I$2,1)</f>
        <v>1</v>
      </c>
      <c r="G45" s="88">
        <f t="shared" si="0"/>
        <v>0</v>
      </c>
      <c r="H45" s="89">
        <f t="shared" si="1"/>
      </c>
      <c r="I45" s="85">
        <f>IF(COUNTA(D45),VLOOKUP(C45,Inscription!$C$3:$O$137,13,FALSE),"")</f>
      </c>
      <c r="J45" s="90">
        <f t="shared" si="3"/>
      </c>
      <c r="K45" s="91">
        <f t="shared" si="4"/>
      </c>
    </row>
    <row r="46" spans="1:11" ht="12.75">
      <c r="A46" s="132">
        <v>44</v>
      </c>
      <c r="B46" s="7">
        <f t="shared" si="2"/>
      </c>
      <c r="C46" s="120">
        <f>VLOOKUP($A46,Inscription!$B$3:$I$137,2)</f>
        <v>0</v>
      </c>
      <c r="D46" s="5"/>
      <c r="E46" s="87">
        <f>VLOOKUP($A46,Inscription!$B$3:$I$137,7)</f>
      </c>
      <c r="F46" s="88">
        <f>IF(E46="X",Inscription!$I$2,1)</f>
        <v>1</v>
      </c>
      <c r="G46" s="88">
        <f t="shared" si="0"/>
        <v>0</v>
      </c>
      <c r="H46" s="89">
        <f t="shared" si="1"/>
      </c>
      <c r="I46" s="85">
        <f>IF(COUNTA(D46),VLOOKUP(C46,Inscription!$C$3:$O$137,13,FALSE),"")</f>
      </c>
      <c r="J46" s="90">
        <f t="shared" si="3"/>
      </c>
      <c r="K46" s="91">
        <f t="shared" si="4"/>
      </c>
    </row>
    <row r="47" spans="1:11" ht="13.5" thickBot="1">
      <c r="A47" s="132">
        <v>45</v>
      </c>
      <c r="B47" s="7">
        <f t="shared" si="2"/>
      </c>
      <c r="C47" s="121">
        <f>VLOOKUP($A47,Inscription!$B$3:$I$137,2)</f>
        <v>0</v>
      </c>
      <c r="D47" s="8"/>
      <c r="E47" s="92">
        <f>VLOOKUP($A47,Inscription!$B$3:$I$137,7)</f>
      </c>
      <c r="F47" s="93">
        <f>IF(E47="X",Inscription!$I$2,1)</f>
        <v>1</v>
      </c>
      <c r="G47" s="93">
        <f t="shared" si="0"/>
        <v>0</v>
      </c>
      <c r="H47" s="94">
        <f t="shared" si="1"/>
      </c>
      <c r="I47" s="85">
        <f>IF(COUNTA(D47),VLOOKUP(C47,Inscription!$C$3:$O$137,13,FALSE),"")</f>
      </c>
      <c r="J47" s="95">
        <f t="shared" si="3"/>
      </c>
      <c r="K47" s="96">
        <f t="shared" si="4"/>
      </c>
    </row>
  </sheetData>
  <sheetProtection password="DB53" sheet="1" objects="1" scenarios="1"/>
  <mergeCells count="2">
    <mergeCell ref="O3:P3"/>
    <mergeCell ref="O4:P5"/>
  </mergeCells>
  <conditionalFormatting sqref="C3:C47">
    <cfRule type="cellIs" priority="1" dxfId="3" operator="equal" stopIfTrue="1">
      <formula>0</formula>
    </cfRule>
  </conditionalFormatting>
  <conditionalFormatting sqref="D3:D47">
    <cfRule type="cellIs" priority="2" dxfId="5" operator="greaterThan" stopIfTrue="1">
      <formula>30</formula>
    </cfRule>
  </conditionalFormatting>
  <printOptions/>
  <pageMargins left="0.75" right="0.75" top="1" bottom="1" header="0.4921259845" footer="0.4921259845"/>
  <pageSetup fitToHeight="1" fitToWidth="1" horizontalDpi="600" verticalDpi="600" orientation="landscape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V50"/>
  <sheetViews>
    <sheetView workbookViewId="0" topLeftCell="A1">
      <selection activeCell="M3" sqref="M3"/>
    </sheetView>
  </sheetViews>
  <sheetFormatPr defaultColWidth="11.421875" defaultRowHeight="12.75"/>
  <cols>
    <col min="1" max="1" width="2.140625" style="129" customWidth="1"/>
    <col min="2" max="2" width="3.8515625" style="0" hidden="1" customWidth="1"/>
    <col min="3" max="3" width="32.7109375" style="0" customWidth="1"/>
    <col min="4" max="4" width="6.7109375" style="0" customWidth="1"/>
    <col min="5" max="5" width="5.8515625" style="0" customWidth="1"/>
    <col min="6" max="6" width="11.421875" style="0" hidden="1" customWidth="1"/>
    <col min="7" max="7" width="14.28125" style="0" hidden="1" customWidth="1"/>
    <col min="8" max="9" width="14.421875" style="0" hidden="1" customWidth="1"/>
    <col min="10" max="10" width="6.28125" style="1" customWidth="1"/>
    <col min="11" max="12" width="5.140625" style="0" hidden="1" customWidth="1"/>
    <col min="13" max="13" width="9.57421875" style="0" customWidth="1"/>
    <col min="14" max="14" width="12.140625" style="2" hidden="1" customWidth="1"/>
    <col min="15" max="15" width="8.57421875" style="2" hidden="1" customWidth="1"/>
    <col min="16" max="16" width="11.421875" style="1" customWidth="1"/>
  </cols>
  <sheetData>
    <row r="1" ht="6.75" customHeight="1" thickBot="1"/>
    <row r="2" spans="2:16" ht="12.75">
      <c r="B2" s="32"/>
      <c r="C2" s="27" t="s">
        <v>0</v>
      </c>
      <c r="D2" s="28" t="s">
        <v>3</v>
      </c>
      <c r="E2" s="28" t="s">
        <v>4</v>
      </c>
      <c r="F2" s="345" t="s">
        <v>10</v>
      </c>
      <c r="G2" s="347"/>
      <c r="H2" s="28" t="s">
        <v>11</v>
      </c>
      <c r="I2" s="29"/>
      <c r="J2" s="345" t="s">
        <v>18</v>
      </c>
      <c r="K2" s="346"/>
      <c r="L2" s="347"/>
      <c r="M2" s="28" t="s">
        <v>5</v>
      </c>
      <c r="N2" s="30" t="s">
        <v>17</v>
      </c>
      <c r="O2" s="30"/>
      <c r="P2" s="31" t="s">
        <v>12</v>
      </c>
    </row>
    <row r="3" spans="1:16" ht="12.75">
      <c r="A3" s="130">
        <v>1</v>
      </c>
      <c r="B3" s="154">
        <f>P3</f>
        <v>2</v>
      </c>
      <c r="C3" s="122" t="str">
        <f>VLOOKUP($A3,Inscription!$B$3:$I$137,2)</f>
        <v>The Tigers</v>
      </c>
      <c r="D3" s="34">
        <v>4</v>
      </c>
      <c r="E3" s="45">
        <v>31</v>
      </c>
      <c r="F3" s="155">
        <f>IF(D3+E3&gt;0,SUM(D3*60+E3))</f>
        <v>271</v>
      </c>
      <c r="G3" s="156">
        <f>IF(F3&gt;"faux","",F3)</f>
        <v>271</v>
      </c>
      <c r="H3" s="156">
        <f>IF(G3="","",($G$48/G3))</f>
        <v>1.3228782287822878</v>
      </c>
      <c r="I3" s="156">
        <f>IF(G3="","",H3*$H$49)</f>
        <v>29.44649446494465</v>
      </c>
      <c r="J3" s="97">
        <f>VLOOKUP($A3,Inscription!$B$3:$I$137,7)</f>
      </c>
      <c r="K3" s="156">
        <f>IF(J3="X",Inscription!$I$2,1)</f>
        <v>1</v>
      </c>
      <c r="L3" s="98">
        <f>IF(G3="","",H3*$H$49*K3)</f>
        <v>29.44649446494465</v>
      </c>
      <c r="M3" s="99">
        <f aca="true" t="shared" si="0" ref="M3:M47">IF(G3="","",IF(L3&gt;30,30,L3))</f>
        <v>29.44649446494465</v>
      </c>
      <c r="N3" s="159">
        <f>IF(G3="","",VLOOKUP(C3,Inscription!$C$3:$P$137,13,FALSE))</f>
        <v>4.2387495598981595E-06</v>
      </c>
      <c r="O3" s="159">
        <f>IF(G3="","",L3+N3)</f>
        <v>29.44649870369421</v>
      </c>
      <c r="P3" s="100">
        <f aca="true" t="shared" si="1" ref="P3:P47">IF(G3="","",RANK(O3,$O$3:$O$47,0))</f>
        <v>2</v>
      </c>
    </row>
    <row r="4" spans="1:16" ht="12.75">
      <c r="A4" s="130">
        <v>2</v>
      </c>
      <c r="B4" s="154">
        <f aca="true" t="shared" si="2" ref="B4:B16">P4</f>
        <v>12</v>
      </c>
      <c r="C4" s="122" t="str">
        <f>VLOOKUP($A4,Inscription!$B$3:$I$137,2)</f>
        <v>Tigres Rouges</v>
      </c>
      <c r="D4" s="34">
        <v>5</v>
      </c>
      <c r="E4" s="45">
        <v>47</v>
      </c>
      <c r="F4" s="155">
        <f aca="true" t="shared" si="3" ref="F4:F16">IF(D4+E4&gt;0,SUM(D4*60+E4))</f>
        <v>347</v>
      </c>
      <c r="G4" s="156">
        <f aca="true" t="shared" si="4" ref="G4:G16">IF(F4&gt;"faux","",F4)</f>
        <v>347</v>
      </c>
      <c r="H4" s="156">
        <f aca="true" t="shared" si="5" ref="H4:H16">IF(G4="","",($G$48/G4))</f>
        <v>1.0331412103746398</v>
      </c>
      <c r="I4" s="156">
        <f aca="true" t="shared" si="6" ref="I4:I16">IF(G4="","",H4*$H$49)</f>
        <v>22.9971181556196</v>
      </c>
      <c r="J4" s="97">
        <f>VLOOKUP($A4,Inscription!$B$3:$I$137,7)</f>
      </c>
      <c r="K4" s="156">
        <f>IF(J4="X",Inscription!$I$2,1)</f>
        <v>1</v>
      </c>
      <c r="L4" s="98">
        <f aca="true" t="shared" si="7" ref="L4:L16">IF(G4="","",H4*$H$49*K4)</f>
        <v>22.9971181556196</v>
      </c>
      <c r="M4" s="99">
        <f aca="true" t="shared" si="8" ref="M4:M16">IF(G4="","",IF(L4&gt;30,30,L4))</f>
        <v>22.9971181556196</v>
      </c>
      <c r="N4" s="159">
        <f>IF(G4="","",VLOOKUP(C4,Inscription!$C$3:$P$137,13,FALSE))</f>
        <v>5.547261142042036E-06</v>
      </c>
      <c r="O4" s="159">
        <f aca="true" t="shared" si="9" ref="O4:O16">IF(G4="","",L4+N4)</f>
        <v>22.997123702880742</v>
      </c>
      <c r="P4" s="100">
        <f aca="true" t="shared" si="10" ref="P4:P16">IF(G4="","",RANK(O4,$O$3:$O$47,0))</f>
        <v>12</v>
      </c>
    </row>
    <row r="5" spans="1:16" ht="12.75">
      <c r="A5" s="130">
        <v>3</v>
      </c>
      <c r="B5" s="154">
        <f t="shared" si="2"/>
        <v>5</v>
      </c>
      <c r="C5" s="122" t="str">
        <f>VLOOKUP($A5,Inscription!$B$3:$I$137,2)</f>
        <v>Bleus</v>
      </c>
      <c r="D5" s="34">
        <v>5</v>
      </c>
      <c r="E5" s="45">
        <v>15</v>
      </c>
      <c r="F5" s="155">
        <f t="shared" si="3"/>
        <v>315</v>
      </c>
      <c r="G5" s="156">
        <f t="shared" si="4"/>
        <v>315</v>
      </c>
      <c r="H5" s="156">
        <f t="shared" si="5"/>
        <v>1.138095238095238</v>
      </c>
      <c r="I5" s="156">
        <f t="shared" si="6"/>
        <v>25.333333333333332</v>
      </c>
      <c r="J5" s="97" t="str">
        <f>VLOOKUP($A5,Inscription!$B$3:$I$137,7)</f>
        <v>X</v>
      </c>
      <c r="K5" s="156">
        <f>IF(J5="X",Inscription!$I$2,1)</f>
        <v>1.05</v>
      </c>
      <c r="L5" s="98">
        <f t="shared" si="7"/>
        <v>26.6</v>
      </c>
      <c r="M5" s="99">
        <f t="shared" si="8"/>
        <v>26.6</v>
      </c>
      <c r="N5" s="159">
        <f>IF(G5="","",VLOOKUP(C5,Inscription!$C$3:$P$137,13,FALSE))</f>
        <v>5.4923228102679905E-06</v>
      </c>
      <c r="O5" s="159">
        <f t="shared" si="9"/>
        <v>26.60000549232281</v>
      </c>
      <c r="P5" s="100">
        <f t="shared" si="10"/>
        <v>5</v>
      </c>
    </row>
    <row r="6" spans="1:16" ht="12.75">
      <c r="A6" s="130">
        <v>4</v>
      </c>
      <c r="B6" s="154">
        <f t="shared" si="2"/>
        <v>18</v>
      </c>
      <c r="C6" s="122" t="str">
        <f>VLOOKUP($A6,Inscription!$B$3:$I$137,2)</f>
        <v>Jumaé</v>
      </c>
      <c r="D6" s="34">
        <v>7</v>
      </c>
      <c r="E6" s="45">
        <v>31</v>
      </c>
      <c r="F6" s="155">
        <f t="shared" si="3"/>
        <v>451</v>
      </c>
      <c r="G6" s="156">
        <f t="shared" si="4"/>
        <v>451</v>
      </c>
      <c r="H6" s="156">
        <f t="shared" si="5"/>
        <v>0.79490022172949</v>
      </c>
      <c r="I6" s="156">
        <f t="shared" si="6"/>
        <v>17.694013303769403</v>
      </c>
      <c r="J6" s="97" t="str">
        <f>VLOOKUP($A6,Inscription!$B$3:$I$137,7)</f>
        <v>X</v>
      </c>
      <c r="K6" s="156">
        <f>IF(J6="X",Inscription!$I$2,1)</f>
        <v>1.05</v>
      </c>
      <c r="L6" s="98">
        <f t="shared" si="7"/>
        <v>18.578713968957874</v>
      </c>
      <c r="M6" s="99">
        <f t="shared" si="8"/>
        <v>18.578713968957874</v>
      </c>
      <c r="N6" s="159">
        <f>IF(G6="","",VLOOKUP(C6,Inscription!$C$3:$P$137,13,FALSE))</f>
        <v>5.6831149670368295E-06</v>
      </c>
      <c r="O6" s="159">
        <f t="shared" si="9"/>
        <v>18.57871965207284</v>
      </c>
      <c r="P6" s="100">
        <f t="shared" si="10"/>
        <v>18</v>
      </c>
    </row>
    <row r="7" spans="1:16" ht="12.75">
      <c r="A7" s="130">
        <v>5</v>
      </c>
      <c r="B7" s="154">
        <f t="shared" si="2"/>
        <v>10</v>
      </c>
      <c r="C7" s="122" t="str">
        <f>VLOOKUP($A7,Inscription!$B$3:$I$137,2)</f>
        <v>Toufou</v>
      </c>
      <c r="D7" s="34">
        <v>5</v>
      </c>
      <c r="E7" s="45">
        <v>37</v>
      </c>
      <c r="F7" s="155">
        <f t="shared" si="3"/>
        <v>337</v>
      </c>
      <c r="G7" s="156">
        <f t="shared" si="4"/>
        <v>337</v>
      </c>
      <c r="H7" s="156">
        <f t="shared" si="5"/>
        <v>1.0637982195845697</v>
      </c>
      <c r="I7" s="156">
        <f t="shared" si="6"/>
        <v>23.679525222551927</v>
      </c>
      <c r="J7" s="97">
        <f>VLOOKUP($A7,Inscription!$B$3:$I$137,7)</f>
      </c>
      <c r="K7" s="156">
        <f>IF(J7="X",Inscription!$I$2,1)</f>
        <v>1</v>
      </c>
      <c r="L7" s="98">
        <f t="shared" si="7"/>
        <v>23.679525222551927</v>
      </c>
      <c r="M7" s="99">
        <f t="shared" si="8"/>
        <v>23.679525222551927</v>
      </c>
      <c r="N7" s="159">
        <f>IF(G7="","",VLOOKUP(C7,Inscription!$C$3:$P$137,13,FALSE))</f>
        <v>4.552869458153605E-06</v>
      </c>
      <c r="O7" s="159">
        <f t="shared" si="9"/>
        <v>23.679529775421386</v>
      </c>
      <c r="P7" s="100">
        <f t="shared" si="10"/>
        <v>10</v>
      </c>
    </row>
    <row r="8" spans="1:16" ht="12.75">
      <c r="A8" s="130">
        <v>6</v>
      </c>
      <c r="B8" s="154">
        <f t="shared" si="2"/>
      </c>
      <c r="C8" s="122" t="str">
        <f>VLOOKUP($A8,Inscription!$B$3:$I$137,2)</f>
        <v>Annulé</v>
      </c>
      <c r="D8" s="34"/>
      <c r="E8" s="45"/>
      <c r="F8" s="155" t="b">
        <f t="shared" si="3"/>
        <v>0</v>
      </c>
      <c r="G8" s="156">
        <f t="shared" si="4"/>
      </c>
      <c r="H8" s="156">
        <f t="shared" si="5"/>
      </c>
      <c r="I8" s="156">
        <f t="shared" si="6"/>
      </c>
      <c r="J8" s="97">
        <f>VLOOKUP($A8,Inscription!$B$3:$I$137,7)</f>
      </c>
      <c r="K8" s="156">
        <f>IF(J8="X",Inscription!$I$2,1)</f>
        <v>1</v>
      </c>
      <c r="L8" s="98">
        <f t="shared" si="7"/>
      </c>
      <c r="M8" s="99">
        <f t="shared" si="8"/>
      </c>
      <c r="N8" s="159">
        <f>IF(G8="","",VLOOKUP(C8,Inscription!$C$3:$P$137,13,FALSE))</f>
      </c>
      <c r="O8" s="159">
        <f t="shared" si="9"/>
      </c>
      <c r="P8" s="100">
        <f t="shared" si="10"/>
      </c>
    </row>
    <row r="9" spans="1:16" ht="12.75">
      <c r="A9" s="130">
        <v>7</v>
      </c>
      <c r="B9" s="154">
        <f t="shared" si="2"/>
        <v>15</v>
      </c>
      <c r="C9" s="122" t="str">
        <f>VLOOKUP($A9,Inscription!$B$3:$I$137,2)</f>
        <v>Saumons</v>
      </c>
      <c r="D9" s="34">
        <v>5</v>
      </c>
      <c r="E9" s="45">
        <v>58</v>
      </c>
      <c r="F9" s="155">
        <f t="shared" si="3"/>
        <v>358</v>
      </c>
      <c r="G9" s="156">
        <f t="shared" si="4"/>
        <v>358</v>
      </c>
      <c r="H9" s="156">
        <f t="shared" si="5"/>
        <v>1.0013966480446927</v>
      </c>
      <c r="I9" s="156">
        <f t="shared" si="6"/>
        <v>22.290502793296092</v>
      </c>
      <c r="J9" s="97">
        <f>VLOOKUP($A9,Inscription!$B$3:$I$137,7)</f>
      </c>
      <c r="K9" s="156">
        <f>IF(J9="X",Inscription!$I$2,1)</f>
        <v>1</v>
      </c>
      <c r="L9" s="98">
        <f t="shared" si="7"/>
        <v>22.290502793296092</v>
      </c>
      <c r="M9" s="99">
        <f t="shared" si="8"/>
        <v>22.290502793296092</v>
      </c>
      <c r="N9" s="159">
        <f>IF(G9="","",VLOOKUP(C9,Inscription!$C$3:$P$137,13,FALSE))</f>
        <v>5.571612750569522E-06</v>
      </c>
      <c r="O9" s="159">
        <f t="shared" si="9"/>
        <v>22.290508364908842</v>
      </c>
      <c r="P9" s="100">
        <f t="shared" si="10"/>
        <v>15</v>
      </c>
    </row>
    <row r="10" spans="1:16" ht="12.75">
      <c r="A10" s="130">
        <v>8</v>
      </c>
      <c r="B10" s="154">
        <f t="shared" si="2"/>
        <v>16</v>
      </c>
      <c r="C10" s="122" t="str">
        <f>VLOOKUP($A10,Inscription!$B$3:$I$137,2)</f>
        <v>Jaguars</v>
      </c>
      <c r="D10" s="34">
        <v>6</v>
      </c>
      <c r="E10" s="45">
        <v>25</v>
      </c>
      <c r="F10" s="155">
        <f t="shared" si="3"/>
        <v>385</v>
      </c>
      <c r="G10" s="156">
        <f t="shared" si="4"/>
        <v>385</v>
      </c>
      <c r="H10" s="156">
        <f t="shared" si="5"/>
        <v>0.9311688311688312</v>
      </c>
      <c r="I10" s="156">
        <f t="shared" si="6"/>
        <v>20.72727272727273</v>
      </c>
      <c r="J10" s="97" t="str">
        <f>VLOOKUP($A10,Inscription!$B$3:$I$137,7)</f>
        <v>X</v>
      </c>
      <c r="K10" s="156">
        <f>IF(J10="X",Inscription!$I$2,1)</f>
        <v>1.05</v>
      </c>
      <c r="L10" s="98">
        <f t="shared" si="7"/>
        <v>21.76363636363637</v>
      </c>
      <c r="M10" s="99">
        <f t="shared" si="8"/>
        <v>21.76363636363637</v>
      </c>
      <c r="N10" s="159">
        <f>IF(G10="","",VLOOKUP(C10,Inscription!$C$3:$P$137,13,FALSE))</f>
        <v>6.321345668651499E-06</v>
      </c>
      <c r="O10" s="159">
        <f t="shared" si="9"/>
        <v>21.763642684982038</v>
      </c>
      <c r="P10" s="100">
        <f t="shared" si="10"/>
        <v>16</v>
      </c>
    </row>
    <row r="11" spans="1:16" ht="12.75">
      <c r="A11" s="130">
        <v>9</v>
      </c>
      <c r="B11" s="154">
        <f t="shared" si="2"/>
        <v>3</v>
      </c>
      <c r="C11" s="122" t="str">
        <f>VLOOKUP($A11,Inscription!$B$3:$I$137,2)</f>
        <v>Footballeurs</v>
      </c>
      <c r="D11" s="34">
        <v>4</v>
      </c>
      <c r="E11" s="45">
        <v>54</v>
      </c>
      <c r="F11" s="155">
        <f t="shared" si="3"/>
        <v>294</v>
      </c>
      <c r="G11" s="156">
        <f t="shared" si="4"/>
        <v>294</v>
      </c>
      <c r="H11" s="156">
        <f t="shared" si="5"/>
        <v>1.219387755102041</v>
      </c>
      <c r="I11" s="156">
        <f t="shared" si="6"/>
        <v>27.142857142857146</v>
      </c>
      <c r="J11" s="97" t="str">
        <f>VLOOKUP($A11,Inscription!$B$3:$I$137,7)</f>
        <v>X</v>
      </c>
      <c r="K11" s="156">
        <f>IF(J11="X",Inscription!$I$2,1)</f>
        <v>1.05</v>
      </c>
      <c r="L11" s="98">
        <f t="shared" si="7"/>
        <v>28.500000000000004</v>
      </c>
      <c r="M11" s="99">
        <f t="shared" si="8"/>
        <v>28.500000000000004</v>
      </c>
      <c r="N11" s="159">
        <f>IF(G11="","",VLOOKUP(C11,Inscription!$C$3:$P$137,13,FALSE))</f>
        <v>5.054750035628687E-06</v>
      </c>
      <c r="O11" s="159">
        <f t="shared" si="9"/>
        <v>28.50000505475004</v>
      </c>
      <c r="P11" s="100">
        <f t="shared" si="10"/>
        <v>3</v>
      </c>
    </row>
    <row r="12" spans="1:16" ht="12.75">
      <c r="A12" s="130">
        <v>10</v>
      </c>
      <c r="B12" s="154">
        <f t="shared" si="2"/>
        <v>11</v>
      </c>
      <c r="C12" s="122" t="str">
        <f>VLOOKUP($A12,Inscription!$B$3:$I$137,2)</f>
        <v>Big Boss</v>
      </c>
      <c r="D12" s="34">
        <v>5</v>
      </c>
      <c r="E12" s="45">
        <v>46</v>
      </c>
      <c r="F12" s="155">
        <f t="shared" si="3"/>
        <v>346</v>
      </c>
      <c r="G12" s="156">
        <f t="shared" si="4"/>
        <v>346</v>
      </c>
      <c r="H12" s="156">
        <f t="shared" si="5"/>
        <v>1.0361271676300579</v>
      </c>
      <c r="I12" s="156">
        <f t="shared" si="6"/>
        <v>23.063583815028903</v>
      </c>
      <c r="J12" s="97">
        <f>VLOOKUP($A12,Inscription!$B$3:$I$137,7)</f>
      </c>
      <c r="K12" s="156">
        <f>IF(J12="X",Inscription!$I$2,1)</f>
        <v>1</v>
      </c>
      <c r="L12" s="98">
        <f t="shared" si="7"/>
        <v>23.063583815028903</v>
      </c>
      <c r="M12" s="99">
        <f t="shared" si="8"/>
        <v>23.063583815028903</v>
      </c>
      <c r="N12" s="159">
        <f>IF(G12="","",VLOOKUP(C12,Inscription!$C$3:$P$137,13,FALSE))</f>
        <v>6.307455982368951E-06</v>
      </c>
      <c r="O12" s="159">
        <f t="shared" si="9"/>
        <v>23.063590122484886</v>
      </c>
      <c r="P12" s="100">
        <f t="shared" si="10"/>
        <v>11</v>
      </c>
    </row>
    <row r="13" spans="1:16" ht="12.75">
      <c r="A13" s="130">
        <v>11</v>
      </c>
      <c r="B13" s="154">
        <f t="shared" si="2"/>
        <v>14</v>
      </c>
      <c r="C13" s="122" t="str">
        <f>VLOOKUP($A13,Inscription!$B$3:$I$137,2)</f>
        <v>Trio</v>
      </c>
      <c r="D13" s="34">
        <v>6</v>
      </c>
      <c r="E13" s="45">
        <v>12</v>
      </c>
      <c r="F13" s="155">
        <f t="shared" si="3"/>
        <v>372</v>
      </c>
      <c r="G13" s="156">
        <f t="shared" si="4"/>
        <v>372</v>
      </c>
      <c r="H13" s="156">
        <f t="shared" si="5"/>
        <v>0.9637096774193549</v>
      </c>
      <c r="I13" s="156">
        <f t="shared" si="6"/>
        <v>21.451612903225808</v>
      </c>
      <c r="J13" s="97" t="str">
        <f>VLOOKUP($A13,Inscription!$B$3:$I$137,7)</f>
        <v>X</v>
      </c>
      <c r="K13" s="156">
        <f>IF(J13="X",Inscription!$I$2,1)</f>
        <v>1.05</v>
      </c>
      <c r="L13" s="98">
        <f t="shared" si="7"/>
        <v>22.5241935483871</v>
      </c>
      <c r="M13" s="99">
        <f t="shared" si="8"/>
        <v>22.5241935483871</v>
      </c>
      <c r="N13" s="159">
        <f>IF(G13="","",VLOOKUP(C13,Inscription!$C$3:$P$137,13,FALSE))</f>
        <v>5.017675473089945E-06</v>
      </c>
      <c r="O13" s="159">
        <f t="shared" si="9"/>
        <v>22.524198566062573</v>
      </c>
      <c r="P13" s="100">
        <f t="shared" si="10"/>
        <v>14</v>
      </c>
    </row>
    <row r="14" spans="1:16" ht="12.75">
      <c r="A14" s="130">
        <v>12</v>
      </c>
      <c r="B14" s="154">
        <f t="shared" si="2"/>
        <v>8</v>
      </c>
      <c r="C14" s="122" t="str">
        <f>VLOOKUP($A14,Inscription!$B$3:$I$137,2)</f>
        <v>Cavalières</v>
      </c>
      <c r="D14" s="34">
        <v>5</v>
      </c>
      <c r="E14" s="45">
        <v>33</v>
      </c>
      <c r="F14" s="155">
        <f t="shared" si="3"/>
        <v>333</v>
      </c>
      <c r="G14" s="156">
        <f t="shared" si="4"/>
        <v>333</v>
      </c>
      <c r="H14" s="156">
        <f t="shared" si="5"/>
        <v>1.0765765765765767</v>
      </c>
      <c r="I14" s="156">
        <f t="shared" si="6"/>
        <v>23.963963963963966</v>
      </c>
      <c r="J14" s="97" t="str">
        <f>VLOOKUP($A14,Inscription!$B$3:$I$137,7)</f>
        <v>X</v>
      </c>
      <c r="K14" s="156">
        <f>IF(J14="X",Inscription!$I$2,1)</f>
        <v>1.05</v>
      </c>
      <c r="L14" s="98">
        <f t="shared" si="7"/>
        <v>25.162162162162165</v>
      </c>
      <c r="M14" s="99">
        <f t="shared" si="8"/>
        <v>25.162162162162165</v>
      </c>
      <c r="N14" s="159">
        <f>IF(G14="","",VLOOKUP(C14,Inscription!$C$3:$P$137,13,FALSE))</f>
        <v>5.086858496880742E-06</v>
      </c>
      <c r="O14" s="159">
        <f t="shared" si="9"/>
        <v>25.162167249020662</v>
      </c>
      <c r="P14" s="100">
        <f t="shared" si="10"/>
        <v>8</v>
      </c>
    </row>
    <row r="15" spans="1:16" ht="12.75">
      <c r="A15" s="130">
        <v>13</v>
      </c>
      <c r="B15" s="154">
        <f t="shared" si="2"/>
        <v>17</v>
      </c>
      <c r="C15" s="122" t="str">
        <f>VLOOKUP($A15,Inscription!$B$3:$I$137,2)</f>
        <v>Aigles Bleus</v>
      </c>
      <c r="D15" s="34">
        <v>6</v>
      </c>
      <c r="E15" s="45">
        <v>32</v>
      </c>
      <c r="F15" s="155">
        <f t="shared" si="3"/>
        <v>392</v>
      </c>
      <c r="G15" s="156">
        <f t="shared" si="4"/>
        <v>392</v>
      </c>
      <c r="H15" s="156">
        <f t="shared" si="5"/>
        <v>0.9145408163265306</v>
      </c>
      <c r="I15" s="156">
        <f t="shared" si="6"/>
        <v>20.357142857142858</v>
      </c>
      <c r="J15" s="97">
        <f>VLOOKUP($A15,Inscription!$B$3:$I$137,7)</f>
      </c>
      <c r="K15" s="156">
        <f>IF(J15="X",Inscription!$I$2,1)</f>
        <v>1</v>
      </c>
      <c r="L15" s="98">
        <f t="shared" si="7"/>
        <v>20.357142857142858</v>
      </c>
      <c r="M15" s="99">
        <f t="shared" si="8"/>
        <v>20.357142857142858</v>
      </c>
      <c r="N15" s="159">
        <f>IF(G15="","",VLOOKUP(C15,Inscription!$C$3:$P$137,13,FALSE))</f>
        <v>4.845891759131298E-06</v>
      </c>
      <c r="O15" s="159">
        <f t="shared" si="9"/>
        <v>20.357147703034617</v>
      </c>
      <c r="P15" s="100">
        <f t="shared" si="10"/>
        <v>17</v>
      </c>
    </row>
    <row r="16" spans="1:16" ht="12.75">
      <c r="A16" s="130">
        <v>14</v>
      </c>
      <c r="B16" s="154">
        <f t="shared" si="2"/>
        <v>13</v>
      </c>
      <c r="C16" s="122" t="str">
        <f>VLOOKUP($A16,Inscription!$B$3:$I$137,2)</f>
        <v>Flammes Noires</v>
      </c>
      <c r="D16" s="34">
        <v>6</v>
      </c>
      <c r="E16" s="45">
        <v>6</v>
      </c>
      <c r="F16" s="155">
        <f t="shared" si="3"/>
        <v>366</v>
      </c>
      <c r="G16" s="156">
        <f t="shared" si="4"/>
        <v>366</v>
      </c>
      <c r="H16" s="156">
        <f t="shared" si="5"/>
        <v>0.9795081967213115</v>
      </c>
      <c r="I16" s="156">
        <f t="shared" si="6"/>
        <v>21.803278688524593</v>
      </c>
      <c r="J16" s="97" t="str">
        <f>VLOOKUP($A16,Inscription!$B$3:$I$137,7)</f>
        <v>X</v>
      </c>
      <c r="K16" s="156">
        <f>IF(J16="X",Inscription!$I$2,1)</f>
        <v>1.05</v>
      </c>
      <c r="L16" s="98">
        <f t="shared" si="7"/>
        <v>22.893442622950822</v>
      </c>
      <c r="M16" s="99">
        <f t="shared" si="8"/>
        <v>22.893442622950822</v>
      </c>
      <c r="N16" s="159">
        <f>IF(G16="","",VLOOKUP(C16,Inscription!$C$3:$P$137,13,FALSE))</f>
        <v>5.194119081985949E-06</v>
      </c>
      <c r="O16" s="159">
        <f t="shared" si="9"/>
        <v>22.893447817069905</v>
      </c>
      <c r="P16" s="100">
        <f t="shared" si="10"/>
        <v>13</v>
      </c>
    </row>
    <row r="17" spans="1:22" ht="12.75">
      <c r="A17" s="130">
        <v>15</v>
      </c>
      <c r="B17" s="154">
        <f aca="true" t="shared" si="11" ref="B17:B47">P17</f>
        <v>4</v>
      </c>
      <c r="C17" s="122" t="str">
        <f>VLOOKUP($A17,Inscription!$B$3:$I$137,2)</f>
        <v>Ch'tis</v>
      </c>
      <c r="D17" s="34">
        <v>4</v>
      </c>
      <c r="E17" s="45">
        <v>49</v>
      </c>
      <c r="F17" s="155">
        <f aca="true" t="shared" si="12" ref="F17:F47">IF(D17+E17&gt;0,SUM(D17*60+E17))</f>
        <v>289</v>
      </c>
      <c r="G17" s="156">
        <f aca="true" t="shared" si="13" ref="G17:G47">IF(F17&gt;"faux","",F17)</f>
        <v>289</v>
      </c>
      <c r="H17" s="156">
        <f aca="true" t="shared" si="14" ref="H17:H47">IF(G17="","",($G$48/G17))</f>
        <v>1.240484429065744</v>
      </c>
      <c r="I17" s="156">
        <f aca="true" t="shared" si="15" ref="I17:I47">IF(G17="","",H17*$H$49)</f>
        <v>27.612456747404845</v>
      </c>
      <c r="J17" s="97">
        <f>VLOOKUP($A17,Inscription!$B$3:$I$137,7)</f>
      </c>
      <c r="K17" s="156">
        <f>IF(J17="X",Inscription!$I$2,1)</f>
        <v>1</v>
      </c>
      <c r="L17" s="98">
        <f aca="true" t="shared" si="16" ref="L17:L47">IF(G17="","",H17*$H$49*K17)</f>
        <v>27.612456747404845</v>
      </c>
      <c r="M17" s="99">
        <f t="shared" si="0"/>
        <v>27.612456747404845</v>
      </c>
      <c r="N17" s="159">
        <f>IF(G17="","",VLOOKUP(C17,Inscription!$C$3:$P$137,13,FALSE))</f>
        <v>4.246413812267315E-06</v>
      </c>
      <c r="O17" s="159">
        <f aca="true" t="shared" si="17" ref="O17:O47">IF(G17="","",L17+N17)</f>
        <v>27.612460993818658</v>
      </c>
      <c r="P17" s="100">
        <f t="shared" si="1"/>
        <v>4</v>
      </c>
      <c r="U17" s="343" t="s">
        <v>14</v>
      </c>
      <c r="V17" s="343"/>
    </row>
    <row r="18" spans="1:22" ht="12.75">
      <c r="A18" s="130">
        <v>16</v>
      </c>
      <c r="B18" s="154">
        <f t="shared" si="11"/>
        <v>9</v>
      </c>
      <c r="C18" s="122" t="str">
        <f>VLOOKUP($A18,Inscription!$B$3:$I$137,2)</f>
        <v>Best Ones</v>
      </c>
      <c r="D18" s="34">
        <v>5</v>
      </c>
      <c r="E18" s="45">
        <v>39</v>
      </c>
      <c r="F18" s="155">
        <f t="shared" si="12"/>
        <v>339</v>
      </c>
      <c r="G18" s="156">
        <f t="shared" si="13"/>
        <v>339</v>
      </c>
      <c r="H18" s="156">
        <f t="shared" si="14"/>
        <v>1.0575221238938053</v>
      </c>
      <c r="I18" s="156">
        <f t="shared" si="15"/>
        <v>23.53982300884956</v>
      </c>
      <c r="J18" s="97" t="str">
        <f>VLOOKUP($A18,Inscription!$B$3:$I$137,7)</f>
        <v>X</v>
      </c>
      <c r="K18" s="156">
        <f>IF(J18="X",Inscription!$I$2,1)</f>
        <v>1.05</v>
      </c>
      <c r="L18" s="98">
        <f t="shared" si="16"/>
        <v>24.71681415929204</v>
      </c>
      <c r="M18" s="99">
        <f t="shared" si="0"/>
        <v>24.71681415929204</v>
      </c>
      <c r="N18" s="159">
        <f>IF(G18="","",VLOOKUP(C18,Inscription!$C$3:$P$137,13,FALSE))</f>
        <v>5.7255723354972515E-06</v>
      </c>
      <c r="O18" s="159">
        <f t="shared" si="17"/>
        <v>24.716819884864375</v>
      </c>
      <c r="P18" s="100">
        <f t="shared" si="1"/>
        <v>9</v>
      </c>
      <c r="U18" s="348" t="str">
        <f>VLOOKUP(1,$B$3:$C$47,2,FALSE)</f>
        <v>Aigles d'or</v>
      </c>
      <c r="V18" s="348"/>
    </row>
    <row r="19" spans="1:22" ht="12.75">
      <c r="A19" s="130">
        <v>17</v>
      </c>
      <c r="B19" s="154">
        <f t="shared" si="11"/>
        <v>7</v>
      </c>
      <c r="C19" s="122" t="str">
        <f>VLOOKUP($A19,Inscription!$B$3:$I$137,2)</f>
        <v>Tontons flingueurs</v>
      </c>
      <c r="D19" s="34">
        <v>5</v>
      </c>
      <c r="E19" s="45">
        <v>10</v>
      </c>
      <c r="F19" s="155">
        <f t="shared" si="12"/>
        <v>310</v>
      </c>
      <c r="G19" s="156">
        <f t="shared" si="13"/>
        <v>310</v>
      </c>
      <c r="H19" s="156">
        <f t="shared" si="14"/>
        <v>1.1564516129032258</v>
      </c>
      <c r="I19" s="156">
        <f t="shared" si="15"/>
        <v>25.741935483870968</v>
      </c>
      <c r="J19" s="97">
        <f>VLOOKUP($A19,Inscription!$B$3:$I$137,7)</f>
      </c>
      <c r="K19" s="156">
        <f>IF(J19="X",Inscription!$I$2,1)</f>
        <v>1</v>
      </c>
      <c r="L19" s="98">
        <f t="shared" si="16"/>
        <v>25.741935483870968</v>
      </c>
      <c r="M19" s="99">
        <f t="shared" si="0"/>
        <v>25.741935483870968</v>
      </c>
      <c r="N19" s="159">
        <f>IF(G19="","",VLOOKUP(C19,Inscription!$C$3:$P$137,13,FALSE))</f>
        <v>6.120430495768291E-06</v>
      </c>
      <c r="O19" s="159">
        <f t="shared" si="17"/>
        <v>25.741941604301463</v>
      </c>
      <c r="P19" s="100">
        <f t="shared" si="1"/>
        <v>7</v>
      </c>
      <c r="U19" s="348"/>
      <c r="V19" s="348"/>
    </row>
    <row r="20" spans="1:16" ht="12.75">
      <c r="A20" s="130">
        <v>18</v>
      </c>
      <c r="B20" s="154">
        <f t="shared" si="11"/>
        <v>6</v>
      </c>
      <c r="C20" s="122" t="str">
        <f>VLOOKUP($A20,Inscription!$B$3:$I$137,2)</f>
        <v>Twisters</v>
      </c>
      <c r="D20" s="34">
        <v>5</v>
      </c>
      <c r="E20" s="45">
        <v>21</v>
      </c>
      <c r="F20" s="155">
        <f t="shared" si="12"/>
        <v>321</v>
      </c>
      <c r="G20" s="156">
        <f t="shared" si="13"/>
        <v>321</v>
      </c>
      <c r="H20" s="156">
        <f t="shared" si="14"/>
        <v>1.1168224299065421</v>
      </c>
      <c r="I20" s="156">
        <f t="shared" si="15"/>
        <v>24.85981308411215</v>
      </c>
      <c r="J20" s="97" t="str">
        <f>VLOOKUP($A20,Inscription!$B$3:$I$137,7)</f>
        <v>X</v>
      </c>
      <c r="K20" s="156">
        <f>IF(J20="X",Inscription!$I$2,1)</f>
        <v>1.05</v>
      </c>
      <c r="L20" s="98">
        <f t="shared" si="16"/>
        <v>26.10280373831776</v>
      </c>
      <c r="M20" s="99">
        <f t="shared" si="0"/>
        <v>26.10280373831776</v>
      </c>
      <c r="N20" s="159">
        <f>IF(G20="","",VLOOKUP(C20,Inscription!$C$3:$P$137,13,FALSE))</f>
        <v>4.758288117778342E-06</v>
      </c>
      <c r="O20" s="159">
        <f t="shared" si="17"/>
        <v>26.102808496605878</v>
      </c>
      <c r="P20" s="100">
        <f t="shared" si="1"/>
        <v>6</v>
      </c>
    </row>
    <row r="21" spans="1:16" ht="12.75">
      <c r="A21" s="130">
        <v>19</v>
      </c>
      <c r="B21" s="154">
        <f t="shared" si="11"/>
        <v>1</v>
      </c>
      <c r="C21" s="122" t="str">
        <f>VLOOKUP($A21,Inscription!$B$3:$I$137,2)</f>
        <v>Aigles d'or</v>
      </c>
      <c r="D21" s="34">
        <v>4</v>
      </c>
      <c r="E21" s="45">
        <v>26</v>
      </c>
      <c r="F21" s="155">
        <f t="shared" si="12"/>
        <v>266</v>
      </c>
      <c r="G21" s="156">
        <f t="shared" si="13"/>
        <v>266</v>
      </c>
      <c r="H21" s="156">
        <f t="shared" si="14"/>
        <v>1.3477443609022557</v>
      </c>
      <c r="I21" s="156">
        <f t="shared" si="15"/>
        <v>30.000000000000004</v>
      </c>
      <c r="J21" s="97">
        <f>VLOOKUP($A21,Inscription!$B$3:$I$137,7)</f>
      </c>
      <c r="K21" s="156">
        <f>IF(J21="X",Inscription!$I$2,1)</f>
        <v>1</v>
      </c>
      <c r="L21" s="98">
        <f t="shared" si="16"/>
        <v>30.000000000000004</v>
      </c>
      <c r="M21" s="99">
        <f t="shared" si="0"/>
        <v>30.000000000000004</v>
      </c>
      <c r="N21" s="159">
        <f>IF(G21="","",VLOOKUP(C21,Inscription!$C$3:$P$137,13,FALSE))</f>
        <v>5.08206312405054E-06</v>
      </c>
      <c r="O21" s="159">
        <f t="shared" si="17"/>
        <v>30.000005082063126</v>
      </c>
      <c r="P21" s="100">
        <f t="shared" si="1"/>
        <v>1</v>
      </c>
    </row>
    <row r="22" spans="1:16" ht="12.75">
      <c r="A22" s="130">
        <v>20</v>
      </c>
      <c r="B22" s="154">
        <f t="shared" si="11"/>
      </c>
      <c r="C22" s="122">
        <f>VLOOKUP($A22,Inscription!$B$3:$I$137,2)</f>
        <v>0</v>
      </c>
      <c r="D22" s="34"/>
      <c r="E22" s="45"/>
      <c r="F22" s="155" t="b">
        <f t="shared" si="12"/>
        <v>0</v>
      </c>
      <c r="G22" s="156">
        <f t="shared" si="13"/>
      </c>
      <c r="H22" s="156">
        <f t="shared" si="14"/>
      </c>
      <c r="I22" s="156">
        <f t="shared" si="15"/>
      </c>
      <c r="J22" s="97">
        <f>VLOOKUP($A22,Inscription!$B$3:$I$137,7)</f>
      </c>
      <c r="K22" s="156">
        <f>IF(J22="X",Inscription!$I$2,1)</f>
        <v>1</v>
      </c>
      <c r="L22" s="98">
        <f t="shared" si="16"/>
      </c>
      <c r="M22" s="99">
        <f t="shared" si="0"/>
      </c>
      <c r="N22" s="159">
        <f>IF(G22="","",VLOOKUP(C22,Inscription!$C$3:$P$137,13,FALSE))</f>
      </c>
      <c r="O22" s="159">
        <f t="shared" si="17"/>
      </c>
      <c r="P22" s="100">
        <f t="shared" si="1"/>
      </c>
    </row>
    <row r="23" spans="1:16" ht="12.75">
      <c r="A23" s="130">
        <v>21</v>
      </c>
      <c r="B23" s="154">
        <f t="shared" si="11"/>
      </c>
      <c r="C23" s="122">
        <f>VLOOKUP($A23,Inscription!$B$3:$I$137,2)</f>
        <v>0</v>
      </c>
      <c r="D23" s="34"/>
      <c r="E23" s="45"/>
      <c r="F23" s="155" t="b">
        <f t="shared" si="12"/>
        <v>0</v>
      </c>
      <c r="G23" s="156">
        <f t="shared" si="13"/>
      </c>
      <c r="H23" s="156">
        <f t="shared" si="14"/>
      </c>
      <c r="I23" s="156">
        <f t="shared" si="15"/>
      </c>
      <c r="J23" s="97">
        <f>VLOOKUP($A23,Inscription!$B$3:$I$137,7)</f>
      </c>
      <c r="K23" s="156">
        <f>IF(J23="X",Inscription!$I$2,1)</f>
        <v>1</v>
      </c>
      <c r="L23" s="98">
        <f t="shared" si="16"/>
      </c>
      <c r="M23" s="99">
        <f t="shared" si="0"/>
      </c>
      <c r="N23" s="159">
        <f>IF(G23="","",VLOOKUP(C23,Inscription!$C$3:$P$137,13,FALSE))</f>
      </c>
      <c r="O23" s="159">
        <f t="shared" si="17"/>
      </c>
      <c r="P23" s="100">
        <f t="shared" si="1"/>
      </c>
    </row>
    <row r="24" spans="1:16" ht="12.75">
      <c r="A24" s="130">
        <v>22</v>
      </c>
      <c r="B24" s="154">
        <f t="shared" si="11"/>
      </c>
      <c r="C24" s="122">
        <f>VLOOKUP($A24,Inscription!$B$3:$I$137,2)</f>
        <v>0</v>
      </c>
      <c r="D24" s="34"/>
      <c r="E24" s="45"/>
      <c r="F24" s="155" t="b">
        <f t="shared" si="12"/>
        <v>0</v>
      </c>
      <c r="G24" s="156">
        <f t="shared" si="13"/>
      </c>
      <c r="H24" s="156">
        <f t="shared" si="14"/>
      </c>
      <c r="I24" s="156">
        <f t="shared" si="15"/>
      </c>
      <c r="J24" s="97">
        <f>VLOOKUP($A24,Inscription!$B$3:$I$137,7)</f>
      </c>
      <c r="K24" s="156">
        <f>IF(J24="X",Inscription!$I$2,1)</f>
        <v>1</v>
      </c>
      <c r="L24" s="98">
        <f t="shared" si="16"/>
      </c>
      <c r="M24" s="99">
        <f t="shared" si="0"/>
      </c>
      <c r="N24" s="159">
        <f>IF(G24="","",VLOOKUP(C24,Inscription!$C$3:$P$137,13,FALSE))</f>
      </c>
      <c r="O24" s="159">
        <f t="shared" si="17"/>
      </c>
      <c r="P24" s="100">
        <f t="shared" si="1"/>
      </c>
    </row>
    <row r="25" spans="1:16" ht="12.75">
      <c r="A25" s="130">
        <v>23</v>
      </c>
      <c r="B25" s="154">
        <f t="shared" si="11"/>
      </c>
      <c r="C25" s="122">
        <f>VLOOKUP($A25,Inscription!$B$3:$I$137,2)</f>
        <v>0</v>
      </c>
      <c r="D25" s="34"/>
      <c r="E25" s="45"/>
      <c r="F25" s="155" t="b">
        <f t="shared" si="12"/>
        <v>0</v>
      </c>
      <c r="G25" s="156">
        <f t="shared" si="13"/>
      </c>
      <c r="H25" s="156">
        <f t="shared" si="14"/>
      </c>
      <c r="I25" s="156">
        <f t="shared" si="15"/>
      </c>
      <c r="J25" s="97">
        <f>VLOOKUP($A25,Inscription!$B$3:$I$137,7)</f>
      </c>
      <c r="K25" s="156">
        <f>IF(J25="X",Inscription!$I$2,1)</f>
        <v>1</v>
      </c>
      <c r="L25" s="98">
        <f t="shared" si="16"/>
      </c>
      <c r="M25" s="99">
        <f t="shared" si="0"/>
      </c>
      <c r="N25" s="159">
        <f>IF(G25="","",VLOOKUP(C25,Inscription!$C$3:$P$137,13,FALSE))</f>
      </c>
      <c r="O25" s="159">
        <f t="shared" si="17"/>
      </c>
      <c r="P25" s="100">
        <f t="shared" si="1"/>
      </c>
    </row>
    <row r="26" spans="1:16" ht="12.75">
      <c r="A26" s="130">
        <v>24</v>
      </c>
      <c r="B26" s="154">
        <f t="shared" si="11"/>
      </c>
      <c r="C26" s="122">
        <f>VLOOKUP($A26,Inscription!$B$3:$I$137,2)</f>
        <v>0</v>
      </c>
      <c r="D26" s="34"/>
      <c r="E26" s="45"/>
      <c r="F26" s="155" t="b">
        <f t="shared" si="12"/>
        <v>0</v>
      </c>
      <c r="G26" s="156">
        <f t="shared" si="13"/>
      </c>
      <c r="H26" s="156">
        <f t="shared" si="14"/>
      </c>
      <c r="I26" s="156">
        <f t="shared" si="15"/>
      </c>
      <c r="J26" s="97">
        <f>VLOOKUP($A26,Inscription!$B$3:$I$137,7)</f>
      </c>
      <c r="K26" s="156">
        <f>IF(J26="X",Inscription!$I$2,1)</f>
        <v>1</v>
      </c>
      <c r="L26" s="98">
        <f t="shared" si="16"/>
      </c>
      <c r="M26" s="99">
        <f t="shared" si="0"/>
      </c>
      <c r="N26" s="159">
        <f>IF(G26="","",VLOOKUP(C26,Inscription!$C$3:$P$137,13,FALSE))</f>
      </c>
      <c r="O26" s="159">
        <f t="shared" si="17"/>
      </c>
      <c r="P26" s="100">
        <f t="shared" si="1"/>
      </c>
    </row>
    <row r="27" spans="1:16" ht="12.75">
      <c r="A27" s="130">
        <v>25</v>
      </c>
      <c r="B27" s="154">
        <f t="shared" si="11"/>
      </c>
      <c r="C27" s="122">
        <f>VLOOKUP($A27,Inscription!$B$3:$I$137,2)</f>
        <v>0</v>
      </c>
      <c r="D27" s="34"/>
      <c r="E27" s="45"/>
      <c r="F27" s="155" t="b">
        <f t="shared" si="12"/>
        <v>0</v>
      </c>
      <c r="G27" s="156">
        <f t="shared" si="13"/>
      </c>
      <c r="H27" s="156">
        <f t="shared" si="14"/>
      </c>
      <c r="I27" s="156">
        <f t="shared" si="15"/>
      </c>
      <c r="J27" s="97">
        <f>VLOOKUP($A27,Inscription!$B$3:$I$137,7)</f>
      </c>
      <c r="K27" s="156">
        <f>IF(J27="X",Inscription!$I$2,1)</f>
        <v>1</v>
      </c>
      <c r="L27" s="98">
        <f t="shared" si="16"/>
      </c>
      <c r="M27" s="99">
        <f t="shared" si="0"/>
      </c>
      <c r="N27" s="159">
        <f>IF(G27="","",VLOOKUP(C27,Inscription!$C$3:$P$137,13,FALSE))</f>
      </c>
      <c r="O27" s="159">
        <f t="shared" si="17"/>
      </c>
      <c r="P27" s="100">
        <f t="shared" si="1"/>
      </c>
    </row>
    <row r="28" spans="1:16" ht="12.75">
      <c r="A28" s="130">
        <v>26</v>
      </c>
      <c r="B28" s="154">
        <f t="shared" si="11"/>
      </c>
      <c r="C28" s="122">
        <f>VLOOKUP($A28,Inscription!$B$3:$I$137,2)</f>
        <v>0</v>
      </c>
      <c r="D28" s="34"/>
      <c r="E28" s="45"/>
      <c r="F28" s="155" t="b">
        <f t="shared" si="12"/>
        <v>0</v>
      </c>
      <c r="G28" s="156">
        <f t="shared" si="13"/>
      </c>
      <c r="H28" s="156">
        <f t="shared" si="14"/>
      </c>
      <c r="I28" s="156">
        <f t="shared" si="15"/>
      </c>
      <c r="J28" s="97">
        <f>VLOOKUP($A28,Inscription!$B$3:$I$137,7)</f>
      </c>
      <c r="K28" s="156">
        <f>IF(J28="X",Inscription!$I$2,1)</f>
        <v>1</v>
      </c>
      <c r="L28" s="98">
        <f t="shared" si="16"/>
      </c>
      <c r="M28" s="99">
        <f t="shared" si="0"/>
      </c>
      <c r="N28" s="159">
        <f>IF(G28="","",VLOOKUP(C28,Inscription!$C$3:$P$137,13,FALSE))</f>
      </c>
      <c r="O28" s="159">
        <f t="shared" si="17"/>
      </c>
      <c r="P28" s="100">
        <f t="shared" si="1"/>
      </c>
    </row>
    <row r="29" spans="1:16" ht="12.75">
      <c r="A29" s="130">
        <v>27</v>
      </c>
      <c r="B29" s="154">
        <f t="shared" si="11"/>
      </c>
      <c r="C29" s="122">
        <f>VLOOKUP($A29,Inscription!$B$3:$I$137,2)</f>
        <v>0</v>
      </c>
      <c r="D29" s="34"/>
      <c r="E29" s="45"/>
      <c r="F29" s="155" t="b">
        <f t="shared" si="12"/>
        <v>0</v>
      </c>
      <c r="G29" s="156">
        <f t="shared" si="13"/>
      </c>
      <c r="H29" s="156">
        <f t="shared" si="14"/>
      </c>
      <c r="I29" s="156">
        <f t="shared" si="15"/>
      </c>
      <c r="J29" s="97">
        <f>VLOOKUP($A29,Inscription!$B$3:$I$137,7)</f>
      </c>
      <c r="K29" s="156">
        <f>IF(J29="X",Inscription!$I$2,1)</f>
        <v>1</v>
      </c>
      <c r="L29" s="98">
        <f t="shared" si="16"/>
      </c>
      <c r="M29" s="99">
        <f t="shared" si="0"/>
      </c>
      <c r="N29" s="159">
        <f>IF(G29="","",VLOOKUP(C29,Inscription!$C$3:$P$137,13,FALSE))</f>
      </c>
      <c r="O29" s="159">
        <f t="shared" si="17"/>
      </c>
      <c r="P29" s="100">
        <f t="shared" si="1"/>
      </c>
    </row>
    <row r="30" spans="1:16" ht="12.75">
      <c r="A30" s="130">
        <v>28</v>
      </c>
      <c r="B30" s="154">
        <f t="shared" si="11"/>
      </c>
      <c r="C30" s="122">
        <f>VLOOKUP($A30,Inscription!$B$3:$I$137,2)</f>
        <v>0</v>
      </c>
      <c r="D30" s="34"/>
      <c r="E30" s="45"/>
      <c r="F30" s="155" t="b">
        <f t="shared" si="12"/>
        <v>0</v>
      </c>
      <c r="G30" s="156">
        <f t="shared" si="13"/>
      </c>
      <c r="H30" s="156">
        <f t="shared" si="14"/>
      </c>
      <c r="I30" s="156">
        <f t="shared" si="15"/>
      </c>
      <c r="J30" s="97">
        <f>VLOOKUP($A30,Inscription!$B$3:$I$137,7)</f>
      </c>
      <c r="K30" s="156">
        <f>IF(J30="X",Inscription!$I$2,1)</f>
        <v>1</v>
      </c>
      <c r="L30" s="98">
        <f t="shared" si="16"/>
      </c>
      <c r="M30" s="99">
        <f t="shared" si="0"/>
      </c>
      <c r="N30" s="159">
        <f>IF(G30="","",VLOOKUP(C30,Inscription!$C$3:$P$137,13,FALSE))</f>
      </c>
      <c r="O30" s="159">
        <f t="shared" si="17"/>
      </c>
      <c r="P30" s="100">
        <f t="shared" si="1"/>
      </c>
    </row>
    <row r="31" spans="1:16" ht="12.75">
      <c r="A31" s="130">
        <v>29</v>
      </c>
      <c r="B31" s="154">
        <f t="shared" si="11"/>
      </c>
      <c r="C31" s="122">
        <f>VLOOKUP($A31,Inscription!$B$3:$I$137,2)</f>
        <v>0</v>
      </c>
      <c r="D31" s="34"/>
      <c r="E31" s="45"/>
      <c r="F31" s="155" t="b">
        <f t="shared" si="12"/>
        <v>0</v>
      </c>
      <c r="G31" s="156">
        <f t="shared" si="13"/>
      </c>
      <c r="H31" s="156">
        <f t="shared" si="14"/>
      </c>
      <c r="I31" s="156">
        <f t="shared" si="15"/>
      </c>
      <c r="J31" s="97">
        <f>VLOOKUP($A31,Inscription!$B$3:$I$137,7)</f>
      </c>
      <c r="K31" s="156">
        <f>IF(J31="X",Inscription!$I$2,1)</f>
        <v>1</v>
      </c>
      <c r="L31" s="98">
        <f t="shared" si="16"/>
      </c>
      <c r="M31" s="99">
        <f t="shared" si="0"/>
      </c>
      <c r="N31" s="159">
        <f>IF(G31="","",VLOOKUP(C31,Inscription!$C$3:$P$137,13,FALSE))</f>
      </c>
      <c r="O31" s="159">
        <f t="shared" si="17"/>
      </c>
      <c r="P31" s="100">
        <f t="shared" si="1"/>
      </c>
    </row>
    <row r="32" spans="1:16" ht="12.75">
      <c r="A32" s="130">
        <v>30</v>
      </c>
      <c r="B32" s="154">
        <f t="shared" si="11"/>
      </c>
      <c r="C32" s="122">
        <f>VLOOKUP($A32,Inscription!$B$3:$I$137,2)</f>
        <v>0</v>
      </c>
      <c r="D32" s="34"/>
      <c r="E32" s="45"/>
      <c r="F32" s="155" t="b">
        <f t="shared" si="12"/>
        <v>0</v>
      </c>
      <c r="G32" s="156">
        <f t="shared" si="13"/>
      </c>
      <c r="H32" s="156">
        <f t="shared" si="14"/>
      </c>
      <c r="I32" s="156">
        <f t="shared" si="15"/>
      </c>
      <c r="J32" s="97">
        <f>VLOOKUP($A32,Inscription!$B$3:$I$137,7)</f>
      </c>
      <c r="K32" s="156">
        <f>IF(J32="X",Inscription!$I$2,1)</f>
        <v>1</v>
      </c>
      <c r="L32" s="98">
        <f t="shared" si="16"/>
      </c>
      <c r="M32" s="99">
        <f t="shared" si="0"/>
      </c>
      <c r="N32" s="159">
        <f>IF(G32="","",VLOOKUP(C32,Inscription!$C$3:$P$137,13,FALSE))</f>
      </c>
      <c r="O32" s="159">
        <f t="shared" si="17"/>
      </c>
      <c r="P32" s="100">
        <f t="shared" si="1"/>
      </c>
    </row>
    <row r="33" spans="1:16" ht="12.75">
      <c r="A33" s="130">
        <v>31</v>
      </c>
      <c r="B33" s="154">
        <f t="shared" si="11"/>
      </c>
      <c r="C33" s="122">
        <f>VLOOKUP($A33,Inscription!$B$3:$I$137,2)</f>
        <v>0</v>
      </c>
      <c r="D33" s="34"/>
      <c r="E33" s="45"/>
      <c r="F33" s="155" t="b">
        <f t="shared" si="12"/>
        <v>0</v>
      </c>
      <c r="G33" s="156">
        <f t="shared" si="13"/>
      </c>
      <c r="H33" s="156">
        <f t="shared" si="14"/>
      </c>
      <c r="I33" s="156">
        <f t="shared" si="15"/>
      </c>
      <c r="J33" s="97">
        <f>VLOOKUP($A33,Inscription!$B$3:$I$137,7)</f>
      </c>
      <c r="K33" s="156">
        <f>IF(J33="X",Inscription!$I$2,1)</f>
        <v>1</v>
      </c>
      <c r="L33" s="98">
        <f t="shared" si="16"/>
      </c>
      <c r="M33" s="99">
        <f t="shared" si="0"/>
      </c>
      <c r="N33" s="159">
        <f>IF(G33="","",VLOOKUP(C33,Inscription!$C$3:$P$137,13,FALSE))</f>
      </c>
      <c r="O33" s="159">
        <f t="shared" si="17"/>
      </c>
      <c r="P33" s="100">
        <f t="shared" si="1"/>
      </c>
    </row>
    <row r="34" spans="1:16" ht="12.75">
      <c r="A34" s="130">
        <v>32</v>
      </c>
      <c r="B34" s="154">
        <f t="shared" si="11"/>
      </c>
      <c r="C34" s="122">
        <f>VLOOKUP($A34,Inscription!$B$3:$I$137,2)</f>
        <v>0</v>
      </c>
      <c r="D34" s="34"/>
      <c r="E34" s="45"/>
      <c r="F34" s="155" t="b">
        <f t="shared" si="12"/>
        <v>0</v>
      </c>
      <c r="G34" s="156">
        <f t="shared" si="13"/>
      </c>
      <c r="H34" s="156">
        <f t="shared" si="14"/>
      </c>
      <c r="I34" s="156">
        <f t="shared" si="15"/>
      </c>
      <c r="J34" s="97">
        <f>VLOOKUP($A34,Inscription!$B$3:$I$137,7)</f>
      </c>
      <c r="K34" s="156">
        <f>IF(J34="X",Inscription!$I$2,1)</f>
        <v>1</v>
      </c>
      <c r="L34" s="98">
        <f t="shared" si="16"/>
      </c>
      <c r="M34" s="99">
        <f t="shared" si="0"/>
      </c>
      <c r="N34" s="159">
        <f>IF(G34="","",VLOOKUP(C34,Inscription!$C$3:$P$137,13,FALSE))</f>
      </c>
      <c r="O34" s="159">
        <f t="shared" si="17"/>
      </c>
      <c r="P34" s="100">
        <f t="shared" si="1"/>
      </c>
    </row>
    <row r="35" spans="1:16" ht="12.75">
      <c r="A35" s="130">
        <v>33</v>
      </c>
      <c r="B35" s="154">
        <f t="shared" si="11"/>
      </c>
      <c r="C35" s="122">
        <f>VLOOKUP($A35,Inscription!$B$3:$I$137,2)</f>
        <v>0</v>
      </c>
      <c r="D35" s="34"/>
      <c r="E35" s="45"/>
      <c r="F35" s="155" t="b">
        <f t="shared" si="12"/>
        <v>0</v>
      </c>
      <c r="G35" s="156">
        <f t="shared" si="13"/>
      </c>
      <c r="H35" s="156">
        <f t="shared" si="14"/>
      </c>
      <c r="I35" s="156">
        <f t="shared" si="15"/>
      </c>
      <c r="J35" s="97">
        <f>VLOOKUP($A35,Inscription!$B$3:$I$137,7)</f>
      </c>
      <c r="K35" s="156">
        <f>IF(J35="X",Inscription!$I$2,1)</f>
        <v>1</v>
      </c>
      <c r="L35" s="98">
        <f t="shared" si="16"/>
      </c>
      <c r="M35" s="99">
        <f t="shared" si="0"/>
      </c>
      <c r="N35" s="159">
        <f>IF(G35="","",VLOOKUP(C35,Inscription!$C$3:$P$137,13,FALSE))</f>
      </c>
      <c r="O35" s="159">
        <f t="shared" si="17"/>
      </c>
      <c r="P35" s="100">
        <f t="shared" si="1"/>
      </c>
    </row>
    <row r="36" spans="1:16" ht="12.75">
      <c r="A36" s="130">
        <v>34</v>
      </c>
      <c r="B36" s="154">
        <f t="shared" si="11"/>
      </c>
      <c r="C36" s="122">
        <f>VLOOKUP($A36,Inscription!$B$3:$I$137,2)</f>
        <v>0</v>
      </c>
      <c r="D36" s="34"/>
      <c r="E36" s="45"/>
      <c r="F36" s="155" t="b">
        <f t="shared" si="12"/>
        <v>0</v>
      </c>
      <c r="G36" s="156">
        <f t="shared" si="13"/>
      </c>
      <c r="H36" s="156">
        <f t="shared" si="14"/>
      </c>
      <c r="I36" s="156">
        <f t="shared" si="15"/>
      </c>
      <c r="J36" s="97">
        <f>VLOOKUP($A36,Inscription!$B$3:$I$137,7)</f>
      </c>
      <c r="K36" s="156">
        <f>IF(J36="X",Inscription!$I$2,1)</f>
        <v>1</v>
      </c>
      <c r="L36" s="98">
        <f t="shared" si="16"/>
      </c>
      <c r="M36" s="99">
        <f t="shared" si="0"/>
      </c>
      <c r="N36" s="159">
        <f>IF(G36="","",VLOOKUP(C36,Inscription!$C$3:$P$137,13,FALSE))</f>
      </c>
      <c r="O36" s="159">
        <f t="shared" si="17"/>
      </c>
      <c r="P36" s="100">
        <f t="shared" si="1"/>
      </c>
    </row>
    <row r="37" spans="1:16" ht="12.75">
      <c r="A37" s="130">
        <v>35</v>
      </c>
      <c r="B37" s="154">
        <f t="shared" si="11"/>
      </c>
      <c r="C37" s="122">
        <f>VLOOKUP($A37,Inscription!$B$3:$I$137,2)</f>
        <v>0</v>
      </c>
      <c r="D37" s="34"/>
      <c r="E37" s="45"/>
      <c r="F37" s="155" t="b">
        <f t="shared" si="12"/>
        <v>0</v>
      </c>
      <c r="G37" s="156">
        <f t="shared" si="13"/>
      </c>
      <c r="H37" s="156">
        <f t="shared" si="14"/>
      </c>
      <c r="I37" s="156">
        <f t="shared" si="15"/>
      </c>
      <c r="J37" s="97">
        <f>VLOOKUP($A37,Inscription!$B$3:$I$137,7)</f>
      </c>
      <c r="K37" s="156">
        <f>IF(J37="X",Inscription!$I$2,1)</f>
        <v>1</v>
      </c>
      <c r="L37" s="98">
        <f t="shared" si="16"/>
      </c>
      <c r="M37" s="99">
        <f t="shared" si="0"/>
      </c>
      <c r="N37" s="159">
        <f>IF(G37="","",VLOOKUP(C37,Inscription!$C$3:$P$137,13,FALSE))</f>
      </c>
      <c r="O37" s="159">
        <f t="shared" si="17"/>
      </c>
      <c r="P37" s="100">
        <f t="shared" si="1"/>
      </c>
    </row>
    <row r="38" spans="1:16" ht="12.75">
      <c r="A38" s="130">
        <v>36</v>
      </c>
      <c r="B38" s="154">
        <f t="shared" si="11"/>
      </c>
      <c r="C38" s="122">
        <f>VLOOKUP($A38,Inscription!$B$3:$I$137,2)</f>
        <v>0</v>
      </c>
      <c r="D38" s="34"/>
      <c r="E38" s="45"/>
      <c r="F38" s="155" t="b">
        <f t="shared" si="12"/>
        <v>0</v>
      </c>
      <c r="G38" s="156">
        <f t="shared" si="13"/>
      </c>
      <c r="H38" s="156">
        <f t="shared" si="14"/>
      </c>
      <c r="I38" s="156">
        <f t="shared" si="15"/>
      </c>
      <c r="J38" s="97">
        <f>VLOOKUP($A38,Inscription!$B$3:$I$137,7)</f>
      </c>
      <c r="K38" s="156">
        <f>IF(J38="X",Inscription!$I$2,1)</f>
        <v>1</v>
      </c>
      <c r="L38" s="98">
        <f t="shared" si="16"/>
      </c>
      <c r="M38" s="99">
        <f t="shared" si="0"/>
      </c>
      <c r="N38" s="159">
        <f>IF(G38="","",VLOOKUP(C38,Inscription!$C$3:$P$137,13,FALSE))</f>
      </c>
      <c r="O38" s="159">
        <f t="shared" si="17"/>
      </c>
      <c r="P38" s="100">
        <f t="shared" si="1"/>
      </c>
    </row>
    <row r="39" spans="1:16" ht="12.75">
      <c r="A39" s="130">
        <v>37</v>
      </c>
      <c r="B39" s="154">
        <f t="shared" si="11"/>
      </c>
      <c r="C39" s="122">
        <f>VLOOKUP($A39,Inscription!$B$3:$I$137,2)</f>
        <v>0</v>
      </c>
      <c r="D39" s="34"/>
      <c r="E39" s="45"/>
      <c r="F39" s="155" t="b">
        <f t="shared" si="12"/>
        <v>0</v>
      </c>
      <c r="G39" s="156">
        <f t="shared" si="13"/>
      </c>
      <c r="H39" s="156">
        <f t="shared" si="14"/>
      </c>
      <c r="I39" s="156">
        <f t="shared" si="15"/>
      </c>
      <c r="J39" s="97">
        <f>VLOOKUP($A39,Inscription!$B$3:$I$137,7)</f>
      </c>
      <c r="K39" s="156">
        <f>IF(J39="X",Inscription!$I$2,1)</f>
        <v>1</v>
      </c>
      <c r="L39" s="98">
        <f t="shared" si="16"/>
      </c>
      <c r="M39" s="99">
        <f t="shared" si="0"/>
      </c>
      <c r="N39" s="159">
        <f>IF(G39="","",VLOOKUP(C39,Inscription!$C$3:$P$137,13,FALSE))</f>
      </c>
      <c r="O39" s="159">
        <f t="shared" si="17"/>
      </c>
      <c r="P39" s="100">
        <f t="shared" si="1"/>
      </c>
    </row>
    <row r="40" spans="1:16" ht="12.75">
      <c r="A40" s="130">
        <v>38</v>
      </c>
      <c r="B40" s="154">
        <f t="shared" si="11"/>
      </c>
      <c r="C40" s="122">
        <f>VLOOKUP($A40,Inscription!$B$3:$I$137,2)</f>
        <v>0</v>
      </c>
      <c r="D40" s="34"/>
      <c r="E40" s="45"/>
      <c r="F40" s="155" t="b">
        <f t="shared" si="12"/>
        <v>0</v>
      </c>
      <c r="G40" s="156">
        <f t="shared" si="13"/>
      </c>
      <c r="H40" s="156">
        <f t="shared" si="14"/>
      </c>
      <c r="I40" s="156">
        <f t="shared" si="15"/>
      </c>
      <c r="J40" s="97">
        <f>VLOOKUP($A40,Inscription!$B$3:$I$137,7)</f>
      </c>
      <c r="K40" s="156">
        <f>IF(J40="X",Inscription!$I$2,1)</f>
        <v>1</v>
      </c>
      <c r="L40" s="98">
        <f t="shared" si="16"/>
      </c>
      <c r="M40" s="99">
        <f t="shared" si="0"/>
      </c>
      <c r="N40" s="159">
        <f>IF(G40="","",VLOOKUP(C40,Inscription!$C$3:$P$137,13,FALSE))</f>
      </c>
      <c r="O40" s="159">
        <f t="shared" si="17"/>
      </c>
      <c r="P40" s="100">
        <f t="shared" si="1"/>
      </c>
    </row>
    <row r="41" spans="1:16" ht="12.75">
      <c r="A41" s="130">
        <v>39</v>
      </c>
      <c r="B41" s="154">
        <f t="shared" si="11"/>
      </c>
      <c r="C41" s="122">
        <f>VLOOKUP($A41,Inscription!$B$3:$I$137,2)</f>
        <v>0</v>
      </c>
      <c r="D41" s="34"/>
      <c r="E41" s="45"/>
      <c r="F41" s="155" t="b">
        <f t="shared" si="12"/>
        <v>0</v>
      </c>
      <c r="G41" s="156">
        <f t="shared" si="13"/>
      </c>
      <c r="H41" s="156">
        <f t="shared" si="14"/>
      </c>
      <c r="I41" s="156">
        <f t="shared" si="15"/>
      </c>
      <c r="J41" s="97">
        <f>VLOOKUP($A41,Inscription!$B$3:$I$137,7)</f>
      </c>
      <c r="K41" s="156">
        <f>IF(J41="X",Inscription!$I$2,1)</f>
        <v>1</v>
      </c>
      <c r="L41" s="98">
        <f t="shared" si="16"/>
      </c>
      <c r="M41" s="99">
        <f t="shared" si="0"/>
      </c>
      <c r="N41" s="159">
        <f>IF(G41="","",VLOOKUP(C41,Inscription!$C$3:$P$137,13,FALSE))</f>
      </c>
      <c r="O41" s="159">
        <f t="shared" si="17"/>
      </c>
      <c r="P41" s="100">
        <f t="shared" si="1"/>
      </c>
    </row>
    <row r="42" spans="1:16" ht="12.75">
      <c r="A42" s="130">
        <v>40</v>
      </c>
      <c r="B42" s="154">
        <f t="shared" si="11"/>
      </c>
      <c r="C42" s="122">
        <f>VLOOKUP($A42,Inscription!$B$3:$I$137,2)</f>
        <v>0</v>
      </c>
      <c r="D42" s="34"/>
      <c r="E42" s="45"/>
      <c r="F42" s="155" t="b">
        <f t="shared" si="12"/>
        <v>0</v>
      </c>
      <c r="G42" s="156">
        <f t="shared" si="13"/>
      </c>
      <c r="H42" s="156">
        <f t="shared" si="14"/>
      </c>
      <c r="I42" s="156">
        <f t="shared" si="15"/>
      </c>
      <c r="J42" s="97">
        <f>VLOOKUP($A42,Inscription!$B$3:$I$137,7)</f>
      </c>
      <c r="K42" s="156">
        <f>IF(J42="X",Inscription!$I$2,1)</f>
        <v>1</v>
      </c>
      <c r="L42" s="98">
        <f t="shared" si="16"/>
      </c>
      <c r="M42" s="99">
        <f t="shared" si="0"/>
      </c>
      <c r="N42" s="159">
        <f>IF(G42="","",VLOOKUP(C42,Inscription!$C$3:$P$137,13,FALSE))</f>
      </c>
      <c r="O42" s="159">
        <f t="shared" si="17"/>
      </c>
      <c r="P42" s="100">
        <f t="shared" si="1"/>
      </c>
    </row>
    <row r="43" spans="1:16" ht="12.75">
      <c r="A43" s="130">
        <v>41</v>
      </c>
      <c r="B43" s="154">
        <f t="shared" si="11"/>
      </c>
      <c r="C43" s="122">
        <f>VLOOKUP($A43,Inscription!$B$3:$I$137,2)</f>
        <v>0</v>
      </c>
      <c r="D43" s="34"/>
      <c r="E43" s="45"/>
      <c r="F43" s="155" t="b">
        <f t="shared" si="12"/>
        <v>0</v>
      </c>
      <c r="G43" s="156">
        <f t="shared" si="13"/>
      </c>
      <c r="H43" s="156">
        <f t="shared" si="14"/>
      </c>
      <c r="I43" s="156">
        <f t="shared" si="15"/>
      </c>
      <c r="J43" s="97">
        <f>VLOOKUP($A43,Inscription!$B$3:$I$137,7)</f>
      </c>
      <c r="K43" s="156">
        <f>IF(J43="X",Inscription!$I$2,1)</f>
        <v>1</v>
      </c>
      <c r="L43" s="98">
        <f t="shared" si="16"/>
      </c>
      <c r="M43" s="99">
        <f t="shared" si="0"/>
      </c>
      <c r="N43" s="159">
        <f>IF(G43="","",VLOOKUP(C43,Inscription!$C$3:$P$137,13,FALSE))</f>
      </c>
      <c r="O43" s="159">
        <f t="shared" si="17"/>
      </c>
      <c r="P43" s="100">
        <f t="shared" si="1"/>
      </c>
    </row>
    <row r="44" spans="1:16" ht="12.75">
      <c r="A44" s="130">
        <v>42</v>
      </c>
      <c r="B44" s="154">
        <f t="shared" si="11"/>
      </c>
      <c r="C44" s="122">
        <f>VLOOKUP($A44,Inscription!$B$3:$I$137,2)</f>
        <v>0</v>
      </c>
      <c r="D44" s="34"/>
      <c r="E44" s="45"/>
      <c r="F44" s="155" t="b">
        <f t="shared" si="12"/>
        <v>0</v>
      </c>
      <c r="G44" s="156">
        <f t="shared" si="13"/>
      </c>
      <c r="H44" s="156">
        <f t="shared" si="14"/>
      </c>
      <c r="I44" s="156">
        <f t="shared" si="15"/>
      </c>
      <c r="J44" s="97">
        <f>VLOOKUP($A44,Inscription!$B$3:$I$137,7)</f>
      </c>
      <c r="K44" s="156">
        <f>IF(J44="X",Inscription!$I$2,1)</f>
        <v>1</v>
      </c>
      <c r="L44" s="98">
        <f t="shared" si="16"/>
      </c>
      <c r="M44" s="99">
        <f t="shared" si="0"/>
      </c>
      <c r="N44" s="159">
        <f>IF(G44="","",VLOOKUP(C44,Inscription!$C$3:$P$137,13,FALSE))</f>
      </c>
      <c r="O44" s="159">
        <f t="shared" si="17"/>
      </c>
      <c r="P44" s="100">
        <f t="shared" si="1"/>
      </c>
    </row>
    <row r="45" spans="1:16" ht="12.75">
      <c r="A45" s="130">
        <v>43</v>
      </c>
      <c r="B45" s="154">
        <f t="shared" si="11"/>
      </c>
      <c r="C45" s="122">
        <f>VLOOKUP($A45,Inscription!$B$3:$I$137,2)</f>
        <v>0</v>
      </c>
      <c r="D45" s="34"/>
      <c r="E45" s="45"/>
      <c r="F45" s="155" t="b">
        <f t="shared" si="12"/>
        <v>0</v>
      </c>
      <c r="G45" s="156">
        <f t="shared" si="13"/>
      </c>
      <c r="H45" s="156">
        <f t="shared" si="14"/>
      </c>
      <c r="I45" s="156">
        <f t="shared" si="15"/>
      </c>
      <c r="J45" s="97">
        <f>VLOOKUP($A45,Inscription!$B$3:$I$137,7)</f>
      </c>
      <c r="K45" s="156">
        <f>IF(J45="X",Inscription!$I$2,1)</f>
        <v>1</v>
      </c>
      <c r="L45" s="98">
        <f t="shared" si="16"/>
      </c>
      <c r="M45" s="99">
        <f t="shared" si="0"/>
      </c>
      <c r="N45" s="159">
        <f>IF(G45="","",VLOOKUP(C45,Inscription!$C$3:$P$137,13,FALSE))</f>
      </c>
      <c r="O45" s="159">
        <f t="shared" si="17"/>
      </c>
      <c r="P45" s="100">
        <f t="shared" si="1"/>
      </c>
    </row>
    <row r="46" spans="1:16" ht="12.75">
      <c r="A46" s="130">
        <v>44</v>
      </c>
      <c r="B46" s="154">
        <f t="shared" si="11"/>
      </c>
      <c r="C46" s="122">
        <f>VLOOKUP($A46,Inscription!$B$3:$I$137,2)</f>
        <v>0</v>
      </c>
      <c r="D46" s="34"/>
      <c r="E46" s="45"/>
      <c r="F46" s="155" t="b">
        <f t="shared" si="12"/>
        <v>0</v>
      </c>
      <c r="G46" s="156">
        <f t="shared" si="13"/>
      </c>
      <c r="H46" s="156">
        <f t="shared" si="14"/>
      </c>
      <c r="I46" s="156">
        <f t="shared" si="15"/>
      </c>
      <c r="J46" s="97">
        <f>VLOOKUP($A46,Inscription!$B$3:$I$137,7)</f>
      </c>
      <c r="K46" s="156">
        <f>IF(J46="X",Inscription!$I$2,1)</f>
        <v>1</v>
      </c>
      <c r="L46" s="98">
        <f t="shared" si="16"/>
      </c>
      <c r="M46" s="99">
        <f t="shared" si="0"/>
      </c>
      <c r="N46" s="159">
        <f>IF(G46="","",VLOOKUP(C46,Inscription!$C$3:$P$137,13,FALSE))</f>
      </c>
      <c r="O46" s="159">
        <f t="shared" si="17"/>
      </c>
      <c r="P46" s="100">
        <f t="shared" si="1"/>
      </c>
    </row>
    <row r="47" spans="1:16" ht="13.5" thickBot="1">
      <c r="A47" s="130">
        <v>45</v>
      </c>
      <c r="B47" s="154">
        <f t="shared" si="11"/>
      </c>
      <c r="C47" s="123">
        <f>VLOOKUP($A47,Inscription!$B$3:$I$137,2)</f>
        <v>0</v>
      </c>
      <c r="D47" s="35"/>
      <c r="E47" s="46"/>
      <c r="F47" s="157" t="b">
        <f t="shared" si="12"/>
        <v>0</v>
      </c>
      <c r="G47" s="158">
        <f t="shared" si="13"/>
      </c>
      <c r="H47" s="158">
        <f t="shared" si="14"/>
      </c>
      <c r="I47" s="158">
        <f t="shared" si="15"/>
      </c>
      <c r="J47" s="101">
        <f>VLOOKUP($A47,Inscription!$B$3:$I$137,7)</f>
      </c>
      <c r="K47" s="158">
        <f>IF(J47="X",Inscription!$I$2,1)</f>
        <v>1</v>
      </c>
      <c r="L47" s="102">
        <f t="shared" si="16"/>
      </c>
      <c r="M47" s="103">
        <f t="shared" si="0"/>
      </c>
      <c r="N47" s="160">
        <f>IF(G47="","",VLOOKUP(C47,Inscription!$C$3:$P$137,13,FALSE))</f>
      </c>
      <c r="O47" s="160">
        <f t="shared" si="17"/>
      </c>
      <c r="P47" s="104">
        <f t="shared" si="1"/>
      </c>
    </row>
    <row r="48" ht="12.75">
      <c r="G48" s="40">
        <f>AVERAGE(F49:F50)</f>
        <v>358.5</v>
      </c>
    </row>
    <row r="49" spans="4:8" ht="12.75" hidden="1">
      <c r="D49" s="343" t="s">
        <v>15</v>
      </c>
      <c r="E49" s="343"/>
      <c r="F49">
        <f>SMALL(F$3:F$47,1)</f>
        <v>266</v>
      </c>
      <c r="G49" s="40">
        <f>VLOOKUP(F49,G3:H47,2,FALSE)</f>
        <v>1.3477443609022557</v>
      </c>
      <c r="H49">
        <f>30/G49</f>
        <v>22.259414225941423</v>
      </c>
    </row>
    <row r="50" spans="4:6" ht="12.75" hidden="1">
      <c r="D50" s="343" t="s">
        <v>16</v>
      </c>
      <c r="E50" s="343"/>
      <c r="F50">
        <f>LARGE(F$3:F$47,1)</f>
        <v>451</v>
      </c>
    </row>
  </sheetData>
  <sheetProtection password="DB53" sheet="1" objects="1" scenarios="1"/>
  <mergeCells count="6">
    <mergeCell ref="D50:E50"/>
    <mergeCell ref="J2:L2"/>
    <mergeCell ref="F2:G2"/>
    <mergeCell ref="U17:V17"/>
    <mergeCell ref="U18:V19"/>
    <mergeCell ref="D49:E49"/>
  </mergeCells>
  <conditionalFormatting sqref="C3:C47">
    <cfRule type="cellIs" priority="1" dxfId="6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300" verticalDpi="300" orientation="landscape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L47"/>
  <sheetViews>
    <sheetView workbookViewId="0" topLeftCell="A1">
      <selection activeCell="D11" sqref="D11"/>
    </sheetView>
  </sheetViews>
  <sheetFormatPr defaultColWidth="11.421875" defaultRowHeight="12.75"/>
  <cols>
    <col min="1" max="1" width="3.57421875" style="129" customWidth="1"/>
    <col min="2" max="2" width="3.57421875" style="0" hidden="1" customWidth="1"/>
    <col min="3" max="3" width="32.7109375" style="0" customWidth="1"/>
    <col min="5" max="5" width="0" style="0" hidden="1" customWidth="1"/>
    <col min="6" max="7" width="11.421875" style="0" hidden="1" customWidth="1"/>
    <col min="8" max="8" width="11.421875" style="1" customWidth="1"/>
  </cols>
  <sheetData>
    <row r="1" ht="7.5" customHeight="1" thickBot="1"/>
    <row r="2" spans="1:8" ht="13.5" thickBot="1">
      <c r="A2" s="131"/>
      <c r="B2" s="161"/>
      <c r="C2" s="36" t="s">
        <v>0</v>
      </c>
      <c r="D2" s="37" t="s">
        <v>7</v>
      </c>
      <c r="E2" s="37" t="s">
        <v>5</v>
      </c>
      <c r="F2" s="41"/>
      <c r="G2" s="41"/>
      <c r="H2" s="39" t="s">
        <v>12</v>
      </c>
    </row>
    <row r="3" spans="1:8" ht="12.75">
      <c r="A3" s="132">
        <v>1</v>
      </c>
      <c r="B3" s="162">
        <f>H3</f>
        <v>1</v>
      </c>
      <c r="C3" s="124" t="str">
        <f>VLOOKUP($A3,Inscription!$B$3:$I$137,2)</f>
        <v>The Tigers</v>
      </c>
      <c r="D3" s="38">
        <v>28</v>
      </c>
      <c r="E3" s="105">
        <f>IF(D3&gt;0,D3,"")</f>
        <v>28</v>
      </c>
      <c r="F3" s="163">
        <f>IF(COUNTA(D3),VLOOKUP(C3,Inscription!$C$3:$O$137,13,FALSE),"")</f>
        <v>4.2387495598981595E-06</v>
      </c>
      <c r="G3" s="163">
        <f>IF(COUNTA(D3),E3+F3,"")</f>
        <v>28.00000423874956</v>
      </c>
      <c r="H3" s="106">
        <f aca="true" t="shared" si="0" ref="H3:H47">IF(COUNTA(D3),RANK(G3,$G$3:$G$47,0),"")</f>
        <v>1</v>
      </c>
    </row>
    <row r="4" spans="1:12" ht="12.75">
      <c r="A4" s="132">
        <v>2</v>
      </c>
      <c r="B4" s="162">
        <f aca="true" t="shared" si="1" ref="B4:B47">H4</f>
        <v>7</v>
      </c>
      <c r="C4" s="125" t="str">
        <f>VLOOKUP($A4,Inscription!$B$3:$I$137,2)</f>
        <v>Tigres Rouges</v>
      </c>
      <c r="D4" s="5">
        <v>24</v>
      </c>
      <c r="E4" s="107">
        <f aca="true" t="shared" si="2" ref="E4:E47">IF(D4&gt;0,D4,"")</f>
        <v>24</v>
      </c>
      <c r="F4" s="164">
        <f>IF(COUNTA(D4),VLOOKUP(C4,Inscription!$C$3:$O$137,13,FALSE),"")</f>
        <v>5.547261142042036E-06</v>
      </c>
      <c r="G4" s="164">
        <f aca="true" t="shared" si="3" ref="G4:G47">IF(COUNTA(D4),E4+F4,"")</f>
        <v>24.000005547261143</v>
      </c>
      <c r="H4" s="108">
        <f t="shared" si="0"/>
        <v>7</v>
      </c>
      <c r="K4" s="343" t="s">
        <v>14</v>
      </c>
      <c r="L4" s="343"/>
    </row>
    <row r="5" spans="1:12" ht="12.75" customHeight="1">
      <c r="A5" s="132">
        <v>3</v>
      </c>
      <c r="B5" s="162">
        <f t="shared" si="1"/>
        <v>6</v>
      </c>
      <c r="C5" s="125" t="str">
        <f>VLOOKUP($A5,Inscription!$B$3:$I$137,2)</f>
        <v>Bleus</v>
      </c>
      <c r="D5" s="5">
        <v>25</v>
      </c>
      <c r="E5" s="107">
        <f t="shared" si="2"/>
        <v>25</v>
      </c>
      <c r="F5" s="164">
        <f>IF(COUNTA(D5),VLOOKUP(C5,Inscription!$C$3:$O$137,13,FALSE),"")</f>
        <v>5.4923228102679905E-06</v>
      </c>
      <c r="G5" s="164">
        <f t="shared" si="3"/>
        <v>25.00000549232281</v>
      </c>
      <c r="H5" s="108">
        <f t="shared" si="0"/>
        <v>6</v>
      </c>
      <c r="K5" s="348" t="str">
        <f>VLOOKUP(1,$B$3:$C$47,2,FALSE)</f>
        <v>The Tigers</v>
      </c>
      <c r="L5" s="348"/>
    </row>
    <row r="6" spans="1:12" ht="12.75" customHeight="1">
      <c r="A6" s="132">
        <v>4</v>
      </c>
      <c r="B6" s="162">
        <f t="shared" si="1"/>
        <v>2</v>
      </c>
      <c r="C6" s="125" t="str">
        <f>VLOOKUP($A6,Inscription!$B$3:$I$137,2)</f>
        <v>Jumaé</v>
      </c>
      <c r="D6" s="5">
        <v>27</v>
      </c>
      <c r="E6" s="107">
        <f t="shared" si="2"/>
        <v>27</v>
      </c>
      <c r="F6" s="164">
        <f>IF(COUNTA(D6),VLOOKUP(C6,Inscription!$C$3:$O$137,13,FALSE),"")</f>
        <v>5.6831149670368295E-06</v>
      </c>
      <c r="G6" s="164">
        <f t="shared" si="3"/>
        <v>27.000005683114967</v>
      </c>
      <c r="H6" s="108">
        <f t="shared" si="0"/>
        <v>2</v>
      </c>
      <c r="K6" s="348"/>
      <c r="L6" s="348"/>
    </row>
    <row r="7" spans="1:8" ht="12.75">
      <c r="A7" s="132">
        <v>5</v>
      </c>
      <c r="B7" s="162">
        <f t="shared" si="1"/>
        <v>17</v>
      </c>
      <c r="C7" s="125" t="str">
        <f>VLOOKUP($A7,Inscription!$B$3:$I$137,2)</f>
        <v>Toufou</v>
      </c>
      <c r="D7" s="5">
        <v>19</v>
      </c>
      <c r="E7" s="107">
        <f t="shared" si="2"/>
        <v>19</v>
      </c>
      <c r="F7" s="164">
        <f>IF(COUNTA(D7),VLOOKUP(C7,Inscription!$C$3:$O$137,13,FALSE),"")</f>
        <v>4.552869458153605E-06</v>
      </c>
      <c r="G7" s="164">
        <f t="shared" si="3"/>
        <v>19.00000455286946</v>
      </c>
      <c r="H7" s="108">
        <f t="shared" si="0"/>
        <v>17</v>
      </c>
    </row>
    <row r="8" spans="1:8" ht="12.75">
      <c r="A8" s="132">
        <v>6</v>
      </c>
      <c r="B8" s="162">
        <f aca="true" t="shared" si="4" ref="B8:B20">H8</f>
      </c>
      <c r="C8" s="125" t="str">
        <f>VLOOKUP($A8,Inscription!$B$3:$I$137,2)</f>
        <v>Annulé</v>
      </c>
      <c r="D8" s="5"/>
      <c r="E8" s="107">
        <f t="shared" si="2"/>
      </c>
      <c r="F8" s="164">
        <f>IF(COUNTA(D8),VLOOKUP(C8,Inscription!$C$3:$O$137,13,FALSE),"")</f>
      </c>
      <c r="G8" s="164">
        <f aca="true" t="shared" si="5" ref="G8:G20">IF(COUNTA(D8),E8+F8,"")</f>
      </c>
      <c r="H8" s="108">
        <f t="shared" si="0"/>
      </c>
    </row>
    <row r="9" spans="1:8" ht="12.75">
      <c r="A9" s="132">
        <v>7</v>
      </c>
      <c r="B9" s="162">
        <f t="shared" si="4"/>
        <v>18</v>
      </c>
      <c r="C9" s="125" t="str">
        <f>VLOOKUP($A9,Inscription!$B$3:$I$137,2)</f>
        <v>Saumons</v>
      </c>
      <c r="D9" s="5">
        <v>16</v>
      </c>
      <c r="E9" s="107">
        <f t="shared" si="2"/>
        <v>16</v>
      </c>
      <c r="F9" s="164">
        <f>IF(COUNTA(D9),VLOOKUP(C9,Inscription!$C$3:$O$137,13,FALSE),"")</f>
        <v>5.571612750569522E-06</v>
      </c>
      <c r="G9" s="164">
        <f t="shared" si="5"/>
        <v>16.00000557161275</v>
      </c>
      <c r="H9" s="108">
        <f t="shared" si="0"/>
        <v>18</v>
      </c>
    </row>
    <row r="10" spans="1:8" ht="12.75">
      <c r="A10" s="132">
        <v>8</v>
      </c>
      <c r="B10" s="162">
        <f t="shared" si="4"/>
        <v>14</v>
      </c>
      <c r="C10" s="125" t="str">
        <f>VLOOKUP($A10,Inscription!$B$3:$I$137,2)</f>
        <v>Jaguars</v>
      </c>
      <c r="D10" s="5">
        <v>19</v>
      </c>
      <c r="E10" s="107">
        <f t="shared" si="2"/>
        <v>19</v>
      </c>
      <c r="F10" s="164">
        <f>IF(COUNTA(D10),VLOOKUP(C10,Inscription!$C$3:$O$137,13,FALSE),"")</f>
        <v>6.321345668651499E-06</v>
      </c>
      <c r="G10" s="164">
        <f t="shared" si="5"/>
        <v>19.00000632134567</v>
      </c>
      <c r="H10" s="108">
        <f t="shared" si="0"/>
        <v>14</v>
      </c>
    </row>
    <row r="11" spans="1:8" ht="12.75">
      <c r="A11" s="132">
        <v>9</v>
      </c>
      <c r="B11" s="162">
        <f t="shared" si="4"/>
        <v>13</v>
      </c>
      <c r="C11" s="125" t="str">
        <f>VLOOKUP($A11,Inscription!$B$3:$I$137,2)</f>
        <v>Footballeurs</v>
      </c>
      <c r="D11" s="5">
        <v>20</v>
      </c>
      <c r="E11" s="107">
        <f t="shared" si="2"/>
        <v>20</v>
      </c>
      <c r="F11" s="164">
        <f>IF(COUNTA(D11),VLOOKUP(C11,Inscription!$C$3:$O$137,13,FALSE),"")</f>
        <v>5.054750035628687E-06</v>
      </c>
      <c r="G11" s="164">
        <f t="shared" si="5"/>
        <v>20.000005054750037</v>
      </c>
      <c r="H11" s="108">
        <f t="shared" si="0"/>
        <v>13</v>
      </c>
    </row>
    <row r="12" spans="1:8" ht="12.75">
      <c r="A12" s="132">
        <v>10</v>
      </c>
      <c r="B12" s="162">
        <f t="shared" si="4"/>
        <v>3</v>
      </c>
      <c r="C12" s="125" t="str">
        <f>VLOOKUP($A12,Inscription!$B$3:$I$137,2)</f>
        <v>Big Boss</v>
      </c>
      <c r="D12" s="5">
        <v>26</v>
      </c>
      <c r="E12" s="107">
        <f t="shared" si="2"/>
        <v>26</v>
      </c>
      <c r="F12" s="164">
        <f>IF(COUNTA(D12),VLOOKUP(C12,Inscription!$C$3:$O$137,13,FALSE),"")</f>
        <v>6.307455982368951E-06</v>
      </c>
      <c r="G12" s="164">
        <f t="shared" si="5"/>
        <v>26.000006307455983</v>
      </c>
      <c r="H12" s="108">
        <f t="shared" si="0"/>
        <v>3</v>
      </c>
    </row>
    <row r="13" spans="1:8" ht="12.75">
      <c r="A13" s="132">
        <v>11</v>
      </c>
      <c r="B13" s="162">
        <f t="shared" si="4"/>
        <v>4</v>
      </c>
      <c r="C13" s="125" t="str">
        <f>VLOOKUP($A13,Inscription!$B$3:$I$137,2)</f>
        <v>Trio</v>
      </c>
      <c r="D13" s="5">
        <v>26</v>
      </c>
      <c r="E13" s="107">
        <f t="shared" si="2"/>
        <v>26</v>
      </c>
      <c r="F13" s="164">
        <f>IF(COUNTA(D13),VLOOKUP(C13,Inscription!$C$3:$O$137,13,FALSE),"")</f>
        <v>5.017675473089945E-06</v>
      </c>
      <c r="G13" s="164">
        <f t="shared" si="5"/>
        <v>26.000005017675473</v>
      </c>
      <c r="H13" s="108">
        <f t="shared" si="0"/>
        <v>4</v>
      </c>
    </row>
    <row r="14" spans="1:8" ht="12.75">
      <c r="A14" s="132">
        <v>12</v>
      </c>
      <c r="B14" s="162">
        <f t="shared" si="4"/>
        <v>12</v>
      </c>
      <c r="C14" s="125" t="str">
        <f>VLOOKUP($A14,Inscription!$B$3:$I$137,2)</f>
        <v>Cavalières</v>
      </c>
      <c r="D14" s="5">
        <v>20</v>
      </c>
      <c r="E14" s="107">
        <f t="shared" si="2"/>
        <v>20</v>
      </c>
      <c r="F14" s="164">
        <f>IF(COUNTA(D14),VLOOKUP(C14,Inscription!$C$3:$O$137,13,FALSE),"")</f>
        <v>5.086858496880742E-06</v>
      </c>
      <c r="G14" s="164">
        <f t="shared" si="5"/>
        <v>20.000005086858497</v>
      </c>
      <c r="H14" s="108">
        <f t="shared" si="0"/>
        <v>12</v>
      </c>
    </row>
    <row r="15" spans="1:8" ht="12.75">
      <c r="A15" s="132">
        <v>13</v>
      </c>
      <c r="B15" s="162">
        <f t="shared" si="4"/>
        <v>16</v>
      </c>
      <c r="C15" s="125" t="str">
        <f>VLOOKUP($A15,Inscription!$B$3:$I$137,2)</f>
        <v>Aigles Bleus</v>
      </c>
      <c r="D15" s="5">
        <v>19</v>
      </c>
      <c r="E15" s="107">
        <f t="shared" si="2"/>
        <v>19</v>
      </c>
      <c r="F15" s="164">
        <f>IF(COUNTA(D15),VLOOKUP(C15,Inscription!$C$3:$O$137,13,FALSE),"")</f>
        <v>4.845891759131298E-06</v>
      </c>
      <c r="G15" s="164">
        <f t="shared" si="5"/>
        <v>19.00000484589176</v>
      </c>
      <c r="H15" s="108">
        <f t="shared" si="0"/>
        <v>16</v>
      </c>
    </row>
    <row r="16" spans="1:8" ht="12.75">
      <c r="A16" s="132">
        <v>14</v>
      </c>
      <c r="B16" s="162">
        <f t="shared" si="4"/>
        <v>8</v>
      </c>
      <c r="C16" s="125" t="str">
        <f>VLOOKUP($A16,Inscription!$B$3:$I$137,2)</f>
        <v>Flammes Noires</v>
      </c>
      <c r="D16" s="5">
        <v>24</v>
      </c>
      <c r="E16" s="107">
        <f t="shared" si="2"/>
        <v>24</v>
      </c>
      <c r="F16" s="164">
        <f>IF(COUNTA(D16),VLOOKUP(C16,Inscription!$C$3:$O$137,13,FALSE),"")</f>
        <v>5.194119081985949E-06</v>
      </c>
      <c r="G16" s="164">
        <f t="shared" si="5"/>
        <v>24.000005194119083</v>
      </c>
      <c r="H16" s="108">
        <f t="shared" si="0"/>
        <v>8</v>
      </c>
    </row>
    <row r="17" spans="1:8" ht="12.75">
      <c r="A17" s="132">
        <v>15</v>
      </c>
      <c r="B17" s="162">
        <f t="shared" si="4"/>
        <v>10</v>
      </c>
      <c r="C17" s="125" t="str">
        <f>VLOOKUP($A17,Inscription!$B$3:$I$137,2)</f>
        <v>Ch'tis</v>
      </c>
      <c r="D17" s="5">
        <v>22</v>
      </c>
      <c r="E17" s="107">
        <f t="shared" si="2"/>
        <v>22</v>
      </c>
      <c r="F17" s="164">
        <f>IF(COUNTA(D17),VLOOKUP(C17,Inscription!$C$3:$O$137,13,FALSE),"")</f>
        <v>4.246413812267315E-06</v>
      </c>
      <c r="G17" s="164">
        <f t="shared" si="5"/>
        <v>22.000004246413813</v>
      </c>
      <c r="H17" s="108">
        <f t="shared" si="0"/>
        <v>10</v>
      </c>
    </row>
    <row r="18" spans="1:8" ht="12.75">
      <c r="A18" s="132">
        <v>16</v>
      </c>
      <c r="B18" s="162">
        <f t="shared" si="4"/>
        <v>5</v>
      </c>
      <c r="C18" s="125" t="str">
        <f>VLOOKUP($A18,Inscription!$B$3:$I$137,2)</f>
        <v>Best Ones</v>
      </c>
      <c r="D18" s="5">
        <v>25</v>
      </c>
      <c r="E18" s="107">
        <f t="shared" si="2"/>
        <v>25</v>
      </c>
      <c r="F18" s="164">
        <f>IF(COUNTA(D18),VLOOKUP(C18,Inscription!$C$3:$O$137,13,FALSE),"")</f>
        <v>5.7255723354972515E-06</v>
      </c>
      <c r="G18" s="164">
        <f t="shared" si="5"/>
        <v>25.000005725572336</v>
      </c>
      <c r="H18" s="108">
        <f t="shared" si="0"/>
        <v>5</v>
      </c>
    </row>
    <row r="19" spans="1:8" ht="12.75">
      <c r="A19" s="132">
        <v>17</v>
      </c>
      <c r="B19" s="162">
        <f t="shared" si="4"/>
        <v>11</v>
      </c>
      <c r="C19" s="125" t="str">
        <f>VLOOKUP($A19,Inscription!$B$3:$I$137,2)</f>
        <v>Tontons flingueurs</v>
      </c>
      <c r="D19" s="5">
        <v>21</v>
      </c>
      <c r="E19" s="107">
        <f t="shared" si="2"/>
        <v>21</v>
      </c>
      <c r="F19" s="164">
        <f>IF(COUNTA(D19),VLOOKUP(C19,Inscription!$C$3:$O$137,13,FALSE),"")</f>
        <v>6.120430495768291E-06</v>
      </c>
      <c r="G19" s="164">
        <f t="shared" si="5"/>
        <v>21.000006120430495</v>
      </c>
      <c r="H19" s="108">
        <f t="shared" si="0"/>
        <v>11</v>
      </c>
    </row>
    <row r="20" spans="1:8" ht="12.75">
      <c r="A20" s="132">
        <v>18</v>
      </c>
      <c r="B20" s="162">
        <f t="shared" si="4"/>
        <v>9</v>
      </c>
      <c r="C20" s="125" t="str">
        <f>VLOOKUP($A20,Inscription!$B$3:$I$137,2)</f>
        <v>Twisters</v>
      </c>
      <c r="D20" s="5">
        <v>24</v>
      </c>
      <c r="E20" s="107">
        <f t="shared" si="2"/>
        <v>24</v>
      </c>
      <c r="F20" s="164">
        <f>IF(COUNTA(D20),VLOOKUP(C20,Inscription!$C$3:$O$137,13,FALSE),"")</f>
        <v>4.758288117778342E-06</v>
      </c>
      <c r="G20" s="164">
        <f t="shared" si="5"/>
        <v>24.000004758288117</v>
      </c>
      <c r="H20" s="108">
        <f t="shared" si="0"/>
        <v>9</v>
      </c>
    </row>
    <row r="21" spans="1:8" ht="12.75">
      <c r="A21" s="132">
        <v>19</v>
      </c>
      <c r="B21" s="162">
        <f t="shared" si="1"/>
        <v>15</v>
      </c>
      <c r="C21" s="125" t="str">
        <f>VLOOKUP($A21,Inscription!$B$3:$I$137,2)</f>
        <v>Aigles d'or</v>
      </c>
      <c r="D21" s="5">
        <v>19</v>
      </c>
      <c r="E21" s="107">
        <f t="shared" si="2"/>
        <v>19</v>
      </c>
      <c r="F21" s="164">
        <f>IF(COUNTA(D21),VLOOKUP(C21,Inscription!$C$3:$O$137,13,FALSE),"")</f>
        <v>5.08206312405054E-06</v>
      </c>
      <c r="G21" s="164">
        <f t="shared" si="3"/>
        <v>19.000005082063122</v>
      </c>
      <c r="H21" s="108">
        <f t="shared" si="0"/>
        <v>15</v>
      </c>
    </row>
    <row r="22" spans="1:8" ht="12.75">
      <c r="A22" s="132">
        <v>20</v>
      </c>
      <c r="B22" s="162">
        <f t="shared" si="1"/>
      </c>
      <c r="C22" s="125">
        <f>VLOOKUP($A22,Inscription!$B$3:$I$137,2)</f>
        <v>0</v>
      </c>
      <c r="D22" s="5"/>
      <c r="E22" s="107">
        <f t="shared" si="2"/>
      </c>
      <c r="F22" s="164">
        <f>IF(COUNTA(D22),VLOOKUP(C22,Inscription!$C$3:$O$137,13,FALSE),"")</f>
      </c>
      <c r="G22" s="164">
        <f t="shared" si="3"/>
      </c>
      <c r="H22" s="108">
        <f t="shared" si="0"/>
      </c>
    </row>
    <row r="23" spans="1:8" ht="12.75">
      <c r="A23" s="132">
        <v>21</v>
      </c>
      <c r="B23" s="162">
        <f t="shared" si="1"/>
      </c>
      <c r="C23" s="125">
        <f>VLOOKUP($A23,Inscription!$B$3:$I$137,2)</f>
        <v>0</v>
      </c>
      <c r="D23" s="5"/>
      <c r="E23" s="107">
        <f t="shared" si="2"/>
      </c>
      <c r="F23" s="164">
        <f>IF(COUNTA(D23),VLOOKUP(C23,Inscription!$C$3:$O$137,13,FALSE),"")</f>
      </c>
      <c r="G23" s="164">
        <f t="shared" si="3"/>
      </c>
      <c r="H23" s="108">
        <f t="shared" si="0"/>
      </c>
    </row>
    <row r="24" spans="1:8" ht="12.75">
      <c r="A24" s="132">
        <v>22</v>
      </c>
      <c r="B24" s="162">
        <f t="shared" si="1"/>
      </c>
      <c r="C24" s="125">
        <f>VLOOKUP($A24,Inscription!$B$3:$I$137,2)</f>
        <v>0</v>
      </c>
      <c r="D24" s="5"/>
      <c r="E24" s="107">
        <f t="shared" si="2"/>
      </c>
      <c r="F24" s="164">
        <f>IF(COUNTA(D24),VLOOKUP(C24,Inscription!$C$3:$O$137,13,FALSE),"")</f>
      </c>
      <c r="G24" s="164">
        <f t="shared" si="3"/>
      </c>
      <c r="H24" s="108">
        <f t="shared" si="0"/>
      </c>
    </row>
    <row r="25" spans="1:8" ht="12.75">
      <c r="A25" s="132">
        <v>23</v>
      </c>
      <c r="B25" s="162">
        <f t="shared" si="1"/>
      </c>
      <c r="C25" s="125">
        <f>VLOOKUP($A25,Inscription!$B$3:$I$137,2)</f>
        <v>0</v>
      </c>
      <c r="D25" s="5"/>
      <c r="E25" s="107">
        <f t="shared" si="2"/>
      </c>
      <c r="F25" s="164">
        <f>IF(COUNTA(D25),VLOOKUP(C25,Inscription!$C$3:$O$137,13,FALSE),"")</f>
      </c>
      <c r="G25" s="164">
        <f t="shared" si="3"/>
      </c>
      <c r="H25" s="108">
        <f t="shared" si="0"/>
      </c>
    </row>
    <row r="26" spans="1:8" ht="12.75">
      <c r="A26" s="132">
        <v>24</v>
      </c>
      <c r="B26" s="162">
        <f t="shared" si="1"/>
      </c>
      <c r="C26" s="125">
        <f>VLOOKUP($A26,Inscription!$B$3:$I$137,2)</f>
        <v>0</v>
      </c>
      <c r="D26" s="5"/>
      <c r="E26" s="107">
        <f t="shared" si="2"/>
      </c>
      <c r="F26" s="164">
        <f>IF(COUNTA(D26),VLOOKUP(C26,Inscription!$C$3:$O$137,13,FALSE),"")</f>
      </c>
      <c r="G26" s="164">
        <f t="shared" si="3"/>
      </c>
      <c r="H26" s="108">
        <f t="shared" si="0"/>
      </c>
    </row>
    <row r="27" spans="1:8" ht="12.75">
      <c r="A27" s="132">
        <v>25</v>
      </c>
      <c r="B27" s="162">
        <f t="shared" si="1"/>
      </c>
      <c r="C27" s="125">
        <f>VLOOKUP($A27,Inscription!$B$3:$I$137,2)</f>
        <v>0</v>
      </c>
      <c r="D27" s="5"/>
      <c r="E27" s="107">
        <f t="shared" si="2"/>
      </c>
      <c r="F27" s="164">
        <f>IF(COUNTA(D27),VLOOKUP(C27,Inscription!$C$3:$O$137,13,FALSE),"")</f>
      </c>
      <c r="G27" s="164">
        <f t="shared" si="3"/>
      </c>
      <c r="H27" s="108">
        <f t="shared" si="0"/>
      </c>
    </row>
    <row r="28" spans="1:8" ht="12.75">
      <c r="A28" s="132">
        <v>26</v>
      </c>
      <c r="B28" s="162">
        <f t="shared" si="1"/>
      </c>
      <c r="C28" s="125">
        <f>VLOOKUP($A28,Inscription!$B$3:$I$137,2)</f>
        <v>0</v>
      </c>
      <c r="D28" s="5"/>
      <c r="E28" s="107">
        <f t="shared" si="2"/>
      </c>
      <c r="F28" s="164">
        <f>IF(COUNTA(D28),VLOOKUP(C28,Inscription!$C$3:$O$137,13,FALSE),"")</f>
      </c>
      <c r="G28" s="164">
        <f t="shared" si="3"/>
      </c>
      <c r="H28" s="108">
        <f t="shared" si="0"/>
      </c>
    </row>
    <row r="29" spans="1:8" ht="12.75">
      <c r="A29" s="132">
        <v>27</v>
      </c>
      <c r="B29" s="162">
        <f t="shared" si="1"/>
      </c>
      <c r="C29" s="125">
        <f>VLOOKUP($A29,Inscription!$B$3:$I$137,2)</f>
        <v>0</v>
      </c>
      <c r="D29" s="5"/>
      <c r="E29" s="107">
        <f t="shared" si="2"/>
      </c>
      <c r="F29" s="164">
        <f>IF(COUNTA(D29),VLOOKUP(C29,Inscription!$C$3:$O$137,13,FALSE),"")</f>
      </c>
      <c r="G29" s="164">
        <f t="shared" si="3"/>
      </c>
      <c r="H29" s="108">
        <f t="shared" si="0"/>
      </c>
    </row>
    <row r="30" spans="1:8" ht="12.75">
      <c r="A30" s="132">
        <v>28</v>
      </c>
      <c r="B30" s="162">
        <f t="shared" si="1"/>
      </c>
      <c r="C30" s="125">
        <f>VLOOKUP($A30,Inscription!$B$3:$I$137,2)</f>
        <v>0</v>
      </c>
      <c r="D30" s="5"/>
      <c r="E30" s="107">
        <f t="shared" si="2"/>
      </c>
      <c r="F30" s="164">
        <f>IF(COUNTA(D30),VLOOKUP(C30,Inscription!$C$3:$O$137,13,FALSE),"")</f>
      </c>
      <c r="G30" s="164">
        <f t="shared" si="3"/>
      </c>
      <c r="H30" s="108">
        <f t="shared" si="0"/>
      </c>
    </row>
    <row r="31" spans="1:8" ht="12.75">
      <c r="A31" s="132">
        <v>29</v>
      </c>
      <c r="B31" s="162">
        <f t="shared" si="1"/>
      </c>
      <c r="C31" s="125">
        <f>VLOOKUP($A31,Inscription!$B$3:$I$137,2)</f>
        <v>0</v>
      </c>
      <c r="D31" s="5"/>
      <c r="E31" s="107">
        <f t="shared" si="2"/>
      </c>
      <c r="F31" s="164">
        <f>IF(COUNTA(D31),VLOOKUP(C31,Inscription!$C$3:$O$137,13,FALSE),"")</f>
      </c>
      <c r="G31" s="164">
        <f t="shared" si="3"/>
      </c>
      <c r="H31" s="108">
        <f t="shared" si="0"/>
      </c>
    </row>
    <row r="32" spans="1:8" ht="12.75">
      <c r="A32" s="132">
        <v>30</v>
      </c>
      <c r="B32" s="162">
        <f t="shared" si="1"/>
      </c>
      <c r="C32" s="125">
        <f>VLOOKUP($A32,Inscription!$B$3:$I$137,2)</f>
        <v>0</v>
      </c>
      <c r="D32" s="5"/>
      <c r="E32" s="107">
        <f t="shared" si="2"/>
      </c>
      <c r="F32" s="164">
        <f>IF(COUNTA(D32),VLOOKUP(C32,Inscription!$C$3:$O$137,13,FALSE),"")</f>
      </c>
      <c r="G32" s="164">
        <f t="shared" si="3"/>
      </c>
      <c r="H32" s="108">
        <f t="shared" si="0"/>
      </c>
    </row>
    <row r="33" spans="1:8" ht="12.75">
      <c r="A33" s="132">
        <v>31</v>
      </c>
      <c r="B33" s="162">
        <f t="shared" si="1"/>
      </c>
      <c r="C33" s="125">
        <f>VLOOKUP($A33,Inscription!$B$3:$I$137,2)</f>
        <v>0</v>
      </c>
      <c r="D33" s="5"/>
      <c r="E33" s="107">
        <f t="shared" si="2"/>
      </c>
      <c r="F33" s="164">
        <f>IF(COUNTA(D33),VLOOKUP(C33,Inscription!$C$3:$O$137,13,FALSE),"")</f>
      </c>
      <c r="G33" s="164">
        <f t="shared" si="3"/>
      </c>
      <c r="H33" s="108">
        <f t="shared" si="0"/>
      </c>
    </row>
    <row r="34" spans="1:8" ht="12.75">
      <c r="A34" s="132">
        <v>32</v>
      </c>
      <c r="B34" s="162">
        <f t="shared" si="1"/>
      </c>
      <c r="C34" s="125">
        <f>VLOOKUP($A34,Inscription!$B$3:$I$137,2)</f>
        <v>0</v>
      </c>
      <c r="D34" s="5"/>
      <c r="E34" s="107">
        <f t="shared" si="2"/>
      </c>
      <c r="F34" s="164">
        <f>IF(COUNTA(D34),VLOOKUP(C34,Inscription!$C$3:$O$137,13,FALSE),"")</f>
      </c>
      <c r="G34" s="164">
        <f t="shared" si="3"/>
      </c>
      <c r="H34" s="108">
        <f t="shared" si="0"/>
      </c>
    </row>
    <row r="35" spans="1:8" ht="12.75">
      <c r="A35" s="132">
        <v>33</v>
      </c>
      <c r="B35" s="162">
        <f t="shared" si="1"/>
      </c>
      <c r="C35" s="125">
        <f>VLOOKUP($A35,Inscription!$B$3:$I$137,2)</f>
        <v>0</v>
      </c>
      <c r="D35" s="5"/>
      <c r="E35" s="107">
        <f t="shared" si="2"/>
      </c>
      <c r="F35" s="164">
        <f>IF(COUNTA(D35),VLOOKUP(C35,Inscription!$C$3:$O$137,13,FALSE),"")</f>
      </c>
      <c r="G35" s="164">
        <f t="shared" si="3"/>
      </c>
      <c r="H35" s="108">
        <f t="shared" si="0"/>
      </c>
    </row>
    <row r="36" spans="1:8" ht="12.75">
      <c r="A36" s="132">
        <v>34</v>
      </c>
      <c r="B36" s="162">
        <f t="shared" si="1"/>
      </c>
      <c r="C36" s="125">
        <f>VLOOKUP($A36,Inscription!$B$3:$I$137,2)</f>
        <v>0</v>
      </c>
      <c r="D36" s="5"/>
      <c r="E36" s="107">
        <f t="shared" si="2"/>
      </c>
      <c r="F36" s="164">
        <f>IF(COUNTA(D36),VLOOKUP(C36,Inscription!$C$3:$O$137,13,FALSE),"")</f>
      </c>
      <c r="G36" s="164">
        <f t="shared" si="3"/>
      </c>
      <c r="H36" s="108">
        <f t="shared" si="0"/>
      </c>
    </row>
    <row r="37" spans="1:8" ht="12.75">
      <c r="A37" s="132">
        <v>35</v>
      </c>
      <c r="B37" s="162">
        <f t="shared" si="1"/>
      </c>
      <c r="C37" s="125">
        <f>VLOOKUP($A37,Inscription!$B$3:$I$137,2)</f>
        <v>0</v>
      </c>
      <c r="D37" s="5"/>
      <c r="E37" s="107">
        <f t="shared" si="2"/>
      </c>
      <c r="F37" s="164">
        <f>IF(COUNTA(D37),VLOOKUP(C37,Inscription!$C$3:$O$137,13,FALSE),"")</f>
      </c>
      <c r="G37" s="164">
        <f t="shared" si="3"/>
      </c>
      <c r="H37" s="108">
        <f t="shared" si="0"/>
      </c>
    </row>
    <row r="38" spans="1:8" ht="12.75">
      <c r="A38" s="132">
        <v>36</v>
      </c>
      <c r="B38" s="162">
        <f t="shared" si="1"/>
      </c>
      <c r="C38" s="125">
        <f>VLOOKUP($A38,Inscription!$B$3:$I$137,2)</f>
        <v>0</v>
      </c>
      <c r="D38" s="5"/>
      <c r="E38" s="107">
        <f t="shared" si="2"/>
      </c>
      <c r="F38" s="164">
        <f>IF(COUNTA(D38),VLOOKUP(C38,Inscription!$C$3:$O$137,13,FALSE),"")</f>
      </c>
      <c r="G38" s="164">
        <f t="shared" si="3"/>
      </c>
      <c r="H38" s="108">
        <f t="shared" si="0"/>
      </c>
    </row>
    <row r="39" spans="1:8" ht="12.75">
      <c r="A39" s="132">
        <v>37</v>
      </c>
      <c r="B39" s="162">
        <f t="shared" si="1"/>
      </c>
      <c r="C39" s="125">
        <f>VLOOKUP($A39,Inscription!$B$3:$I$137,2)</f>
        <v>0</v>
      </c>
      <c r="D39" s="5"/>
      <c r="E39" s="107">
        <f t="shared" si="2"/>
      </c>
      <c r="F39" s="164">
        <f>IF(COUNTA(D39),VLOOKUP(C39,Inscription!$C$3:$O$137,13,FALSE),"")</f>
      </c>
      <c r="G39" s="164">
        <f t="shared" si="3"/>
      </c>
      <c r="H39" s="108">
        <f t="shared" si="0"/>
      </c>
    </row>
    <row r="40" spans="1:8" ht="12.75">
      <c r="A40" s="132">
        <v>38</v>
      </c>
      <c r="B40" s="162">
        <f t="shared" si="1"/>
      </c>
      <c r="C40" s="125">
        <f>VLOOKUP($A40,Inscription!$B$3:$I$137,2)</f>
        <v>0</v>
      </c>
      <c r="D40" s="5"/>
      <c r="E40" s="107">
        <f t="shared" si="2"/>
      </c>
      <c r="F40" s="164">
        <f>IF(COUNTA(D40),VLOOKUP(C40,Inscription!$C$3:$O$137,13,FALSE),"")</f>
      </c>
      <c r="G40" s="164">
        <f t="shared" si="3"/>
      </c>
      <c r="H40" s="108">
        <f t="shared" si="0"/>
      </c>
    </row>
    <row r="41" spans="1:8" ht="12.75">
      <c r="A41" s="132">
        <v>39</v>
      </c>
      <c r="B41" s="162">
        <f t="shared" si="1"/>
      </c>
      <c r="C41" s="125">
        <f>VLOOKUP($A41,Inscription!$B$3:$I$137,2)</f>
        <v>0</v>
      </c>
      <c r="D41" s="5"/>
      <c r="E41" s="107">
        <f t="shared" si="2"/>
      </c>
      <c r="F41" s="164">
        <f>IF(COUNTA(D41),VLOOKUP(C41,Inscription!$C$3:$O$137,13,FALSE),"")</f>
      </c>
      <c r="G41" s="164">
        <f t="shared" si="3"/>
      </c>
      <c r="H41" s="108">
        <f t="shared" si="0"/>
      </c>
    </row>
    <row r="42" spans="1:8" ht="12.75">
      <c r="A42" s="132">
        <v>40</v>
      </c>
      <c r="B42" s="162">
        <f t="shared" si="1"/>
      </c>
      <c r="C42" s="125">
        <f>VLOOKUP($A42,Inscription!$B$3:$I$137,2)</f>
        <v>0</v>
      </c>
      <c r="D42" s="5"/>
      <c r="E42" s="107">
        <f t="shared" si="2"/>
      </c>
      <c r="F42" s="164">
        <f>IF(COUNTA(D42),VLOOKUP(C42,Inscription!$C$3:$O$137,13,FALSE),"")</f>
      </c>
      <c r="G42" s="164">
        <f t="shared" si="3"/>
      </c>
      <c r="H42" s="108">
        <f t="shared" si="0"/>
      </c>
    </row>
    <row r="43" spans="1:8" ht="12.75">
      <c r="A43" s="132">
        <v>41</v>
      </c>
      <c r="B43" s="162">
        <f t="shared" si="1"/>
      </c>
      <c r="C43" s="125">
        <f>VLOOKUP($A43,Inscription!$B$3:$I$137,2)</f>
        <v>0</v>
      </c>
      <c r="D43" s="5"/>
      <c r="E43" s="107">
        <f t="shared" si="2"/>
      </c>
      <c r="F43" s="164">
        <f>IF(COUNTA(D43),VLOOKUP(C43,Inscription!$C$3:$O$137,13,FALSE),"")</f>
      </c>
      <c r="G43" s="164">
        <f t="shared" si="3"/>
      </c>
      <c r="H43" s="108">
        <f t="shared" si="0"/>
      </c>
    </row>
    <row r="44" spans="1:8" ht="12.75">
      <c r="A44" s="132">
        <v>42</v>
      </c>
      <c r="B44" s="162">
        <f t="shared" si="1"/>
      </c>
      <c r="C44" s="125">
        <f>VLOOKUP($A44,Inscription!$B$3:$I$137,2)</f>
        <v>0</v>
      </c>
      <c r="D44" s="5"/>
      <c r="E44" s="107">
        <f t="shared" si="2"/>
      </c>
      <c r="F44" s="164">
        <f>IF(COUNTA(D44),VLOOKUP(C44,Inscription!$C$3:$O$137,13,FALSE),"")</f>
      </c>
      <c r="G44" s="164">
        <f t="shared" si="3"/>
      </c>
      <c r="H44" s="108">
        <f t="shared" si="0"/>
      </c>
    </row>
    <row r="45" spans="1:8" ht="12.75">
      <c r="A45" s="132">
        <v>43</v>
      </c>
      <c r="B45" s="162">
        <f t="shared" si="1"/>
      </c>
      <c r="C45" s="125">
        <f>VLOOKUP($A45,Inscription!$B$3:$I$137,2)</f>
        <v>0</v>
      </c>
      <c r="D45" s="5"/>
      <c r="E45" s="107">
        <f t="shared" si="2"/>
      </c>
      <c r="F45" s="164">
        <f>IF(COUNTA(D45),VLOOKUP(C45,Inscription!$C$3:$O$137,13,FALSE),"")</f>
      </c>
      <c r="G45" s="164">
        <f t="shared" si="3"/>
      </c>
      <c r="H45" s="108">
        <f t="shared" si="0"/>
      </c>
    </row>
    <row r="46" spans="1:8" ht="12.75">
      <c r="A46" s="132">
        <v>44</v>
      </c>
      <c r="B46" s="162">
        <f t="shared" si="1"/>
      </c>
      <c r="C46" s="125">
        <f>VLOOKUP($A46,Inscription!$B$3:$I$137,2)</f>
        <v>0</v>
      </c>
      <c r="D46" s="5"/>
      <c r="E46" s="107">
        <f t="shared" si="2"/>
      </c>
      <c r="F46" s="164">
        <f>IF(COUNTA(D46),VLOOKUP(C46,Inscription!$C$3:$O$137,13,FALSE),"")</f>
      </c>
      <c r="G46" s="164">
        <f t="shared" si="3"/>
      </c>
      <c r="H46" s="108">
        <f t="shared" si="0"/>
      </c>
    </row>
    <row r="47" spans="1:8" ht="13.5" thickBot="1">
      <c r="A47" s="132">
        <v>45</v>
      </c>
      <c r="B47" s="162">
        <f t="shared" si="1"/>
      </c>
      <c r="C47" s="126">
        <f>VLOOKUP($A47,Inscription!$B$3:$I$137,2)</f>
        <v>0</v>
      </c>
      <c r="D47" s="8"/>
      <c r="E47" s="109">
        <f t="shared" si="2"/>
      </c>
      <c r="F47" s="165">
        <f>IF(COUNTA(D47),VLOOKUP(C47,Inscription!$C$3:$O$137,13,FALSE),"")</f>
      </c>
      <c r="G47" s="165">
        <f t="shared" si="3"/>
      </c>
      <c r="H47" s="110">
        <f t="shared" si="0"/>
      </c>
    </row>
  </sheetData>
  <sheetProtection password="DB53" sheet="1" objects="1" scenarios="1"/>
  <mergeCells count="2">
    <mergeCell ref="K5:L6"/>
    <mergeCell ref="K4:L4"/>
  </mergeCells>
  <conditionalFormatting sqref="C3:C47">
    <cfRule type="cellIs" priority="1" dxfId="7" operator="equal" stopIfTrue="1">
      <formula>0</formula>
    </cfRule>
  </conditionalFormatting>
  <conditionalFormatting sqref="D3:D47">
    <cfRule type="cellIs" priority="2" dxfId="5" operator="greaterThan" stopIfTrue="1">
      <formula>30</formula>
    </cfRule>
  </conditionalFormatting>
  <printOptions/>
  <pageMargins left="0.75" right="0.75" top="1" bottom="1" header="0.4921259845" footer="0.4921259845"/>
  <pageSetup fitToHeight="1" fitToWidth="1" horizontalDpi="600" verticalDpi="60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V51"/>
  <sheetViews>
    <sheetView workbookViewId="0" topLeftCell="A1">
      <selection activeCell="E10" sqref="E10"/>
    </sheetView>
  </sheetViews>
  <sheetFormatPr defaultColWidth="11.421875" defaultRowHeight="12.75"/>
  <cols>
    <col min="1" max="1" width="1.8515625" style="129" customWidth="1"/>
    <col min="2" max="2" width="4.00390625" style="0" hidden="1" customWidth="1"/>
    <col min="3" max="3" width="32.7109375" style="0" customWidth="1"/>
    <col min="4" max="4" width="5.140625" style="0" customWidth="1"/>
    <col min="5" max="5" width="4.8515625" style="0" customWidth="1"/>
    <col min="6" max="7" width="11.421875" style="0" hidden="1" customWidth="1"/>
    <col min="8" max="8" width="14.7109375" style="0" hidden="1" customWidth="1"/>
    <col min="9" max="9" width="11.421875" style="0" hidden="1" customWidth="1"/>
    <col min="10" max="10" width="6.421875" style="0" customWidth="1"/>
    <col min="11" max="12" width="11.421875" style="0" hidden="1" customWidth="1"/>
    <col min="14" max="15" width="11.421875" style="0" hidden="1" customWidth="1"/>
  </cols>
  <sheetData>
    <row r="1" spans="10:16" ht="6.75" customHeight="1" thickBot="1">
      <c r="J1" s="1"/>
      <c r="N1" s="2"/>
      <c r="O1" s="2"/>
      <c r="P1" s="1"/>
    </row>
    <row r="2" spans="2:16" ht="12.75">
      <c r="B2" s="166"/>
      <c r="C2" s="27" t="s">
        <v>0</v>
      </c>
      <c r="D2" s="28" t="s">
        <v>22</v>
      </c>
      <c r="E2" s="28" t="s">
        <v>21</v>
      </c>
      <c r="F2" s="345" t="s">
        <v>23</v>
      </c>
      <c r="G2" s="347"/>
      <c r="H2" s="28" t="s">
        <v>26</v>
      </c>
      <c r="I2" s="29"/>
      <c r="J2" s="345" t="s">
        <v>18</v>
      </c>
      <c r="K2" s="346"/>
      <c r="L2" s="347"/>
      <c r="M2" s="28" t="s">
        <v>5</v>
      </c>
      <c r="N2" s="30" t="s">
        <v>17</v>
      </c>
      <c r="O2" s="30"/>
      <c r="P2" s="31" t="s">
        <v>12</v>
      </c>
    </row>
    <row r="3" spans="1:16" ht="12.75">
      <c r="A3" s="130">
        <v>1</v>
      </c>
      <c r="B3" s="154">
        <f>P3</f>
        <v>1</v>
      </c>
      <c r="C3" s="127" t="str">
        <f>VLOOKUP($A3,Inscription!$B$3:$I$137,2)</f>
        <v>The Tigers</v>
      </c>
      <c r="D3" s="34">
        <v>3</v>
      </c>
      <c r="E3" s="45">
        <v>35</v>
      </c>
      <c r="F3" s="155">
        <f>IF(D3+E3&gt;0,SUM(D3*100+E3))</f>
        <v>335</v>
      </c>
      <c r="G3" s="156">
        <f>IF(F3&gt;"faux","",F3)</f>
        <v>335</v>
      </c>
      <c r="H3" s="156">
        <f>IF(G3="","",(G3/$G$48))</f>
        <v>1.2293577981651376</v>
      </c>
      <c r="I3" s="156">
        <f>IF(G3="","",H3*$H$49)</f>
        <v>30</v>
      </c>
      <c r="J3" s="111">
        <f>VLOOKUP($A3,Inscription!$B$3:$I$137,7)</f>
      </c>
      <c r="K3" s="156">
        <f>IF(J3="X",Inscription!$I$2,1)</f>
        <v>1</v>
      </c>
      <c r="L3" s="112">
        <f>IF(G3="","",H3*$H$49*K3)</f>
        <v>30</v>
      </c>
      <c r="M3" s="113">
        <f aca="true" t="shared" si="0" ref="M3:M47">IF(G3="","",IF(L3&gt;30,30,L3))</f>
        <v>30</v>
      </c>
      <c r="N3" s="159">
        <f>IF(G3="","",VLOOKUP(C3,Inscription!$C$3:$P$137,13,FALSE))</f>
        <v>4.2387495598981595E-06</v>
      </c>
      <c r="O3" s="159">
        <f>IF(G3="","",L3+N3)</f>
        <v>30.00000423874956</v>
      </c>
      <c r="P3" s="114">
        <f aca="true" t="shared" si="1" ref="P3:P47">IF(G3="","",RANK(O3,$O$3:$O$47,0))</f>
        <v>1</v>
      </c>
    </row>
    <row r="4" spans="1:22" ht="12.75">
      <c r="A4" s="130">
        <v>2</v>
      </c>
      <c r="B4" s="154">
        <f aca="true" t="shared" si="2" ref="B4:B47">P4</f>
        <v>12</v>
      </c>
      <c r="C4" s="127" t="str">
        <f>VLOOKUP($A4,Inscription!$B$3:$I$137,2)</f>
        <v>Tigres Rouges</v>
      </c>
      <c r="D4" s="34">
        <v>2</v>
      </c>
      <c r="E4" s="45">
        <v>45</v>
      </c>
      <c r="F4" s="155">
        <f aca="true" t="shared" si="3" ref="F4:F47">IF(D4+E4&gt;0,SUM(D4*100+E4))</f>
        <v>245</v>
      </c>
      <c r="G4" s="156">
        <f aca="true" t="shared" si="4" ref="G4:G47">IF(F4&gt;"faux","",F4)</f>
        <v>245</v>
      </c>
      <c r="H4" s="156">
        <f aca="true" t="shared" si="5" ref="H4:H47">IF(G4="","",(G4/$G$48))</f>
        <v>0.8990825688073395</v>
      </c>
      <c r="I4" s="156">
        <f aca="true" t="shared" si="6" ref="I4:I47">IF(G4="","",H4*$H$49)</f>
        <v>21.94029850746269</v>
      </c>
      <c r="J4" s="111">
        <f>VLOOKUP($A4,Inscription!$B$3:$I$137,7)</f>
      </c>
      <c r="K4" s="156">
        <f>IF(J4="X",Inscription!$I$2,1)</f>
        <v>1</v>
      </c>
      <c r="L4" s="112">
        <f aca="true" t="shared" si="7" ref="L4:L47">IF(G4="","",H4*$H$49*K4)</f>
        <v>21.94029850746269</v>
      </c>
      <c r="M4" s="113">
        <f t="shared" si="0"/>
        <v>21.94029850746269</v>
      </c>
      <c r="N4" s="159">
        <f>IF(G4="","",VLOOKUP(C4,Inscription!$C$3:$P$137,13,FALSE))</f>
        <v>5.547261142042036E-06</v>
      </c>
      <c r="O4" s="159">
        <f aca="true" t="shared" si="8" ref="O4:O47">IF(G4="","",L4+N4)</f>
        <v>21.940304054723832</v>
      </c>
      <c r="P4" s="114">
        <f t="shared" si="1"/>
        <v>12</v>
      </c>
      <c r="U4" s="343" t="s">
        <v>14</v>
      </c>
      <c r="V4" s="343"/>
    </row>
    <row r="5" spans="1:22" ht="12.75">
      <c r="A5" s="130">
        <v>3</v>
      </c>
      <c r="B5" s="154">
        <f t="shared" si="2"/>
        <v>6</v>
      </c>
      <c r="C5" s="127" t="str">
        <f>VLOOKUP($A5,Inscription!$B$3:$I$137,2)</f>
        <v>Bleus</v>
      </c>
      <c r="D5" s="34">
        <v>2</v>
      </c>
      <c r="E5" s="45">
        <v>47</v>
      </c>
      <c r="F5" s="155">
        <f t="shared" si="3"/>
        <v>247</v>
      </c>
      <c r="G5" s="156">
        <f t="shared" si="4"/>
        <v>247</v>
      </c>
      <c r="H5" s="156">
        <f t="shared" si="5"/>
        <v>0.9064220183486239</v>
      </c>
      <c r="I5" s="156">
        <f t="shared" si="6"/>
        <v>22.11940298507463</v>
      </c>
      <c r="J5" s="111" t="str">
        <f>VLOOKUP($A5,Inscription!$B$3:$I$137,7)</f>
        <v>X</v>
      </c>
      <c r="K5" s="156">
        <f>IF(J5="X",Inscription!$I$2,1)</f>
        <v>1.05</v>
      </c>
      <c r="L5" s="112">
        <f t="shared" si="7"/>
        <v>23.22537313432836</v>
      </c>
      <c r="M5" s="113">
        <f t="shared" si="0"/>
        <v>23.22537313432836</v>
      </c>
      <c r="N5" s="159">
        <f>IF(G5="","",VLOOKUP(C5,Inscription!$C$3:$P$137,13,FALSE))</f>
        <v>5.4923228102679905E-06</v>
      </c>
      <c r="O5" s="159">
        <f t="shared" si="8"/>
        <v>23.22537862665117</v>
      </c>
      <c r="P5" s="114">
        <f t="shared" si="1"/>
        <v>6</v>
      </c>
      <c r="U5" s="348" t="str">
        <f>VLOOKUP(1,$B$3:$C$47,2,FALSE)</f>
        <v>The Tigers</v>
      </c>
      <c r="V5" s="348"/>
    </row>
    <row r="6" spans="1:22" ht="12.75">
      <c r="A6" s="130">
        <v>4</v>
      </c>
      <c r="B6" s="154">
        <f t="shared" si="2"/>
        <v>16</v>
      </c>
      <c r="C6" s="127" t="str">
        <f>VLOOKUP($A6,Inscription!$B$3:$I$137,2)</f>
        <v>Jumaé</v>
      </c>
      <c r="D6" s="34">
        <v>2</v>
      </c>
      <c r="E6" s="45">
        <v>10</v>
      </c>
      <c r="F6" s="155">
        <f t="shared" si="3"/>
        <v>210</v>
      </c>
      <c r="G6" s="156">
        <f t="shared" si="4"/>
        <v>210</v>
      </c>
      <c r="H6" s="156">
        <f t="shared" si="5"/>
        <v>0.7706422018348624</v>
      </c>
      <c r="I6" s="156">
        <f t="shared" si="6"/>
        <v>18.80597014925373</v>
      </c>
      <c r="J6" s="111" t="str">
        <f>VLOOKUP($A6,Inscription!$B$3:$I$137,7)</f>
        <v>X</v>
      </c>
      <c r="K6" s="156">
        <f>IF(J6="X",Inscription!$I$2,1)</f>
        <v>1.05</v>
      </c>
      <c r="L6" s="112">
        <f t="shared" si="7"/>
        <v>19.74626865671642</v>
      </c>
      <c r="M6" s="113">
        <f t="shared" si="0"/>
        <v>19.74626865671642</v>
      </c>
      <c r="N6" s="159">
        <f>IF(G6="","",VLOOKUP(C6,Inscription!$C$3:$P$137,13,FALSE))</f>
        <v>5.6831149670368295E-06</v>
      </c>
      <c r="O6" s="159">
        <f t="shared" si="8"/>
        <v>19.746274339831388</v>
      </c>
      <c r="P6" s="114">
        <f t="shared" si="1"/>
        <v>16</v>
      </c>
      <c r="U6" s="348"/>
      <c r="V6" s="348"/>
    </row>
    <row r="7" spans="1:16" ht="12.75">
      <c r="A7" s="130">
        <v>5</v>
      </c>
      <c r="B7" s="154">
        <f t="shared" si="2"/>
        <v>18</v>
      </c>
      <c r="C7" s="127" t="str">
        <f>VLOOKUP($A7,Inscription!$B$3:$I$137,2)</f>
        <v>Toufou</v>
      </c>
      <c r="D7" s="34">
        <v>2</v>
      </c>
      <c r="E7" s="45">
        <v>15</v>
      </c>
      <c r="F7" s="155">
        <f t="shared" si="3"/>
        <v>215</v>
      </c>
      <c r="G7" s="156">
        <f t="shared" si="4"/>
        <v>215</v>
      </c>
      <c r="H7" s="156">
        <f t="shared" si="5"/>
        <v>0.7889908256880734</v>
      </c>
      <c r="I7" s="156">
        <f t="shared" si="6"/>
        <v>19.253731343283583</v>
      </c>
      <c r="J7" s="111">
        <f>VLOOKUP($A7,Inscription!$B$3:$I$137,7)</f>
      </c>
      <c r="K7" s="156">
        <f>IF(J7="X",Inscription!$I$2,1)</f>
        <v>1</v>
      </c>
      <c r="L7" s="112">
        <f t="shared" si="7"/>
        <v>19.253731343283583</v>
      </c>
      <c r="M7" s="113">
        <f t="shared" si="0"/>
        <v>19.253731343283583</v>
      </c>
      <c r="N7" s="159">
        <f>IF(G7="","",VLOOKUP(C7,Inscription!$C$3:$P$137,13,FALSE))</f>
        <v>4.552869458153605E-06</v>
      </c>
      <c r="O7" s="159">
        <f t="shared" si="8"/>
        <v>19.253735896153042</v>
      </c>
      <c r="P7" s="114">
        <f t="shared" si="1"/>
        <v>18</v>
      </c>
    </row>
    <row r="8" spans="1:16" ht="12.75">
      <c r="A8" s="130">
        <v>6</v>
      </c>
      <c r="B8" s="154">
        <f t="shared" si="2"/>
      </c>
      <c r="C8" s="127" t="str">
        <f>VLOOKUP($A8,Inscription!$B$3:$I$137,2)</f>
        <v>Annulé</v>
      </c>
      <c r="D8" s="34"/>
      <c r="E8" s="45"/>
      <c r="F8" s="155" t="b">
        <f t="shared" si="3"/>
        <v>0</v>
      </c>
      <c r="G8" s="156">
        <f t="shared" si="4"/>
      </c>
      <c r="H8" s="156">
        <f t="shared" si="5"/>
      </c>
      <c r="I8" s="156">
        <f t="shared" si="6"/>
      </c>
      <c r="J8" s="111">
        <f>VLOOKUP($A8,Inscription!$B$3:$I$137,7)</f>
      </c>
      <c r="K8" s="156">
        <f>IF(J8="X",Inscription!$I$2,1)</f>
        <v>1</v>
      </c>
      <c r="L8" s="112">
        <f t="shared" si="7"/>
      </c>
      <c r="M8" s="113">
        <f t="shared" si="0"/>
      </c>
      <c r="N8" s="159">
        <f>IF(G8="","",VLOOKUP(C8,Inscription!$C$3:$P$137,13,FALSE))</f>
      </c>
      <c r="O8" s="159">
        <f t="shared" si="8"/>
      </c>
      <c r="P8" s="114">
        <f t="shared" si="1"/>
      </c>
    </row>
    <row r="9" spans="1:16" ht="12.75">
      <c r="A9" s="130">
        <v>7</v>
      </c>
      <c r="B9" s="154">
        <f t="shared" si="2"/>
        <v>8</v>
      </c>
      <c r="C9" s="127" t="str">
        <f>VLOOKUP($A9,Inscription!$B$3:$I$137,2)</f>
        <v>Saumons</v>
      </c>
      <c r="D9" s="34">
        <v>2</v>
      </c>
      <c r="E9" s="45">
        <v>55</v>
      </c>
      <c r="F9" s="155">
        <f t="shared" si="3"/>
        <v>255</v>
      </c>
      <c r="G9" s="156">
        <f t="shared" si="4"/>
        <v>255</v>
      </c>
      <c r="H9" s="156">
        <f t="shared" si="5"/>
        <v>0.9357798165137615</v>
      </c>
      <c r="I9" s="156">
        <f t="shared" si="6"/>
        <v>22.83582089552239</v>
      </c>
      <c r="J9" s="111">
        <f>VLOOKUP($A9,Inscription!$B$3:$I$137,7)</f>
      </c>
      <c r="K9" s="156">
        <f>IF(J9="X",Inscription!$I$2,1)</f>
        <v>1</v>
      </c>
      <c r="L9" s="112">
        <f t="shared" si="7"/>
        <v>22.83582089552239</v>
      </c>
      <c r="M9" s="113">
        <f t="shared" si="0"/>
        <v>22.83582089552239</v>
      </c>
      <c r="N9" s="159">
        <f>IF(G9="","",VLOOKUP(C9,Inscription!$C$3:$P$137,13,FALSE))</f>
        <v>5.571612750569522E-06</v>
      </c>
      <c r="O9" s="159">
        <f t="shared" si="8"/>
        <v>22.83582646713514</v>
      </c>
      <c r="P9" s="114">
        <f t="shared" si="1"/>
        <v>8</v>
      </c>
    </row>
    <row r="10" spans="1:16" ht="12.75">
      <c r="A10" s="130">
        <v>8</v>
      </c>
      <c r="B10" s="154">
        <f t="shared" si="2"/>
        <v>15</v>
      </c>
      <c r="C10" s="127" t="str">
        <f>VLOOKUP($A10,Inscription!$B$3:$I$137,2)</f>
        <v>Jaguars</v>
      </c>
      <c r="D10" s="34">
        <v>2</v>
      </c>
      <c r="E10" s="45">
        <v>10</v>
      </c>
      <c r="F10" s="155">
        <f t="shared" si="3"/>
        <v>210</v>
      </c>
      <c r="G10" s="156">
        <f t="shared" si="4"/>
        <v>210</v>
      </c>
      <c r="H10" s="156">
        <f t="shared" si="5"/>
        <v>0.7706422018348624</v>
      </c>
      <c r="I10" s="156">
        <f t="shared" si="6"/>
        <v>18.80597014925373</v>
      </c>
      <c r="J10" s="111" t="str">
        <f>VLOOKUP($A10,Inscription!$B$3:$I$137,7)</f>
        <v>X</v>
      </c>
      <c r="K10" s="156">
        <f>IF(J10="X",Inscription!$I$2,1)</f>
        <v>1.05</v>
      </c>
      <c r="L10" s="112">
        <f t="shared" si="7"/>
        <v>19.74626865671642</v>
      </c>
      <c r="M10" s="113">
        <f t="shared" si="0"/>
        <v>19.74626865671642</v>
      </c>
      <c r="N10" s="159">
        <f>IF(G10="","",VLOOKUP(C10,Inscription!$C$3:$P$137,13,FALSE))</f>
        <v>6.321345668651499E-06</v>
      </c>
      <c r="O10" s="159">
        <f t="shared" si="8"/>
        <v>19.74627497806209</v>
      </c>
      <c r="P10" s="114">
        <f t="shared" si="1"/>
        <v>15</v>
      </c>
    </row>
    <row r="11" spans="1:16" ht="12.75">
      <c r="A11" s="130">
        <v>9</v>
      </c>
      <c r="B11" s="154">
        <f t="shared" si="2"/>
        <v>5</v>
      </c>
      <c r="C11" s="127" t="str">
        <f>VLOOKUP($A11,Inscription!$B$3:$I$137,2)</f>
        <v>Footballeurs</v>
      </c>
      <c r="D11" s="34">
        <v>2</v>
      </c>
      <c r="E11" s="45">
        <v>50</v>
      </c>
      <c r="F11" s="155">
        <f t="shared" si="3"/>
        <v>250</v>
      </c>
      <c r="G11" s="156">
        <f t="shared" si="4"/>
        <v>250</v>
      </c>
      <c r="H11" s="156">
        <f t="shared" si="5"/>
        <v>0.9174311926605505</v>
      </c>
      <c r="I11" s="156">
        <f t="shared" si="6"/>
        <v>22.388059701492537</v>
      </c>
      <c r="J11" s="111" t="str">
        <f>VLOOKUP($A11,Inscription!$B$3:$I$137,7)</f>
        <v>X</v>
      </c>
      <c r="K11" s="156">
        <f>IF(J11="X",Inscription!$I$2,1)</f>
        <v>1.05</v>
      </c>
      <c r="L11" s="112">
        <f t="shared" si="7"/>
        <v>23.507462686567166</v>
      </c>
      <c r="M11" s="113">
        <f t="shared" si="0"/>
        <v>23.507462686567166</v>
      </c>
      <c r="N11" s="159">
        <f>IF(G11="","",VLOOKUP(C11,Inscription!$C$3:$P$137,13,FALSE))</f>
        <v>5.054750035628687E-06</v>
      </c>
      <c r="O11" s="159">
        <f t="shared" si="8"/>
        <v>23.507467741317203</v>
      </c>
      <c r="P11" s="114">
        <f t="shared" si="1"/>
        <v>5</v>
      </c>
    </row>
    <row r="12" spans="1:16" ht="12.75">
      <c r="A12" s="130">
        <v>10</v>
      </c>
      <c r="B12" s="154">
        <f t="shared" si="2"/>
        <v>13</v>
      </c>
      <c r="C12" s="127" t="str">
        <f>VLOOKUP($A12,Inscription!$B$3:$I$137,2)</f>
        <v>Big Boss</v>
      </c>
      <c r="D12" s="34">
        <v>2</v>
      </c>
      <c r="E12" s="45">
        <v>43</v>
      </c>
      <c r="F12" s="155">
        <f t="shared" si="3"/>
        <v>243</v>
      </c>
      <c r="G12" s="156">
        <f t="shared" si="4"/>
        <v>243</v>
      </c>
      <c r="H12" s="156">
        <f t="shared" si="5"/>
        <v>0.8917431192660551</v>
      </c>
      <c r="I12" s="156">
        <f t="shared" si="6"/>
        <v>21.76119402985075</v>
      </c>
      <c r="J12" s="111">
        <f>VLOOKUP($A12,Inscription!$B$3:$I$137,7)</f>
      </c>
      <c r="K12" s="156">
        <f>IF(J12="X",Inscription!$I$2,1)</f>
        <v>1</v>
      </c>
      <c r="L12" s="112">
        <f t="shared" si="7"/>
        <v>21.76119402985075</v>
      </c>
      <c r="M12" s="113">
        <f t="shared" si="0"/>
        <v>21.76119402985075</v>
      </c>
      <c r="N12" s="159">
        <f>IF(G12="","",VLOOKUP(C12,Inscription!$C$3:$P$137,13,FALSE))</f>
        <v>6.307455982368951E-06</v>
      </c>
      <c r="O12" s="159">
        <f t="shared" si="8"/>
        <v>21.761200337306732</v>
      </c>
      <c r="P12" s="114">
        <f t="shared" si="1"/>
        <v>13</v>
      </c>
    </row>
    <row r="13" spans="1:16" ht="12.75">
      <c r="A13" s="130">
        <v>11</v>
      </c>
      <c r="B13" s="154">
        <f t="shared" si="2"/>
        <v>11</v>
      </c>
      <c r="C13" s="127" t="str">
        <f>VLOOKUP($A13,Inscription!$B$3:$I$137,2)</f>
        <v>Trio</v>
      </c>
      <c r="D13" s="34">
        <v>2</v>
      </c>
      <c r="E13" s="45">
        <v>37</v>
      </c>
      <c r="F13" s="155">
        <f t="shared" si="3"/>
        <v>237</v>
      </c>
      <c r="G13" s="156">
        <f t="shared" si="4"/>
        <v>237</v>
      </c>
      <c r="H13" s="156">
        <f t="shared" si="5"/>
        <v>0.8697247706422019</v>
      </c>
      <c r="I13" s="156">
        <f t="shared" si="6"/>
        <v>21.223880597014926</v>
      </c>
      <c r="J13" s="111" t="str">
        <f>VLOOKUP($A13,Inscription!$B$3:$I$137,7)</f>
        <v>X</v>
      </c>
      <c r="K13" s="156">
        <f>IF(J13="X",Inscription!$I$2,1)</f>
        <v>1.05</v>
      </c>
      <c r="L13" s="112">
        <f t="shared" si="7"/>
        <v>22.285074626865672</v>
      </c>
      <c r="M13" s="113">
        <f t="shared" si="0"/>
        <v>22.285074626865672</v>
      </c>
      <c r="N13" s="159">
        <f>IF(G13="","",VLOOKUP(C13,Inscription!$C$3:$P$137,13,FALSE))</f>
        <v>5.017675473089945E-06</v>
      </c>
      <c r="O13" s="159">
        <f t="shared" si="8"/>
        <v>22.285079644541145</v>
      </c>
      <c r="P13" s="114">
        <f t="shared" si="1"/>
        <v>11</v>
      </c>
    </row>
    <row r="14" spans="1:16" ht="12.75">
      <c r="A14" s="130">
        <v>12</v>
      </c>
      <c r="B14" s="154">
        <f t="shared" si="2"/>
        <v>7</v>
      </c>
      <c r="C14" s="127" t="str">
        <f>VLOOKUP($A14,Inscription!$B$3:$I$137,2)</f>
        <v>Cavalières</v>
      </c>
      <c r="D14" s="34">
        <v>2</v>
      </c>
      <c r="E14" s="45">
        <v>45</v>
      </c>
      <c r="F14" s="155">
        <f t="shared" si="3"/>
        <v>245</v>
      </c>
      <c r="G14" s="156">
        <f t="shared" si="4"/>
        <v>245</v>
      </c>
      <c r="H14" s="156">
        <f t="shared" si="5"/>
        <v>0.8990825688073395</v>
      </c>
      <c r="I14" s="156">
        <f t="shared" si="6"/>
        <v>21.94029850746269</v>
      </c>
      <c r="J14" s="111" t="str">
        <f>VLOOKUP($A14,Inscription!$B$3:$I$137,7)</f>
        <v>X</v>
      </c>
      <c r="K14" s="156">
        <f>IF(J14="X",Inscription!$I$2,1)</f>
        <v>1.05</v>
      </c>
      <c r="L14" s="112">
        <f t="shared" si="7"/>
        <v>23.037313432835823</v>
      </c>
      <c r="M14" s="113">
        <f t="shared" si="0"/>
        <v>23.037313432835823</v>
      </c>
      <c r="N14" s="159">
        <f>IF(G14="","",VLOOKUP(C14,Inscription!$C$3:$P$137,13,FALSE))</f>
        <v>5.086858496880742E-06</v>
      </c>
      <c r="O14" s="159">
        <f t="shared" si="8"/>
        <v>23.03731851969432</v>
      </c>
      <c r="P14" s="114">
        <f t="shared" si="1"/>
        <v>7</v>
      </c>
    </row>
    <row r="15" spans="1:16" ht="12.75">
      <c r="A15" s="130">
        <v>13</v>
      </c>
      <c r="B15" s="154">
        <f t="shared" si="2"/>
        <v>14</v>
      </c>
      <c r="C15" s="127" t="str">
        <f>VLOOKUP($A15,Inscription!$B$3:$I$137,2)</f>
        <v>Aigles Bleus</v>
      </c>
      <c r="D15" s="34">
        <v>2</v>
      </c>
      <c r="E15" s="45">
        <v>40</v>
      </c>
      <c r="F15" s="155">
        <f t="shared" si="3"/>
        <v>240</v>
      </c>
      <c r="G15" s="156">
        <f t="shared" si="4"/>
        <v>240</v>
      </c>
      <c r="H15" s="156">
        <f t="shared" si="5"/>
        <v>0.8807339449541285</v>
      </c>
      <c r="I15" s="156">
        <f t="shared" si="6"/>
        <v>21.492537313432837</v>
      </c>
      <c r="J15" s="111">
        <f>VLOOKUP($A15,Inscription!$B$3:$I$137,7)</f>
      </c>
      <c r="K15" s="156">
        <f>IF(J15="X",Inscription!$I$2,1)</f>
        <v>1</v>
      </c>
      <c r="L15" s="112">
        <f t="shared" si="7"/>
        <v>21.492537313432837</v>
      </c>
      <c r="M15" s="113">
        <f t="shared" si="0"/>
        <v>21.492537313432837</v>
      </c>
      <c r="N15" s="159">
        <f>IF(G15="","",VLOOKUP(C15,Inscription!$C$3:$P$137,13,FALSE))</f>
        <v>4.845891759131298E-06</v>
      </c>
      <c r="O15" s="159">
        <f t="shared" si="8"/>
        <v>21.492542159324596</v>
      </c>
      <c r="P15" s="114">
        <f t="shared" si="1"/>
        <v>14</v>
      </c>
    </row>
    <row r="16" spans="1:16" ht="12.75">
      <c r="A16" s="130">
        <v>14</v>
      </c>
      <c r="B16" s="154">
        <f aca="true" t="shared" si="9" ref="B16:B28">P16</f>
        <v>4</v>
      </c>
      <c r="C16" s="127" t="str">
        <f>VLOOKUP($A16,Inscription!$B$3:$I$137,2)</f>
        <v>Flammes Noires</v>
      </c>
      <c r="D16" s="34">
        <v>2</v>
      </c>
      <c r="E16" s="45">
        <v>75</v>
      </c>
      <c r="F16" s="155">
        <f t="shared" si="3"/>
        <v>275</v>
      </c>
      <c r="G16" s="156">
        <f t="shared" si="4"/>
        <v>275</v>
      </c>
      <c r="H16" s="156">
        <f t="shared" si="5"/>
        <v>1.0091743119266054</v>
      </c>
      <c r="I16" s="156">
        <f aca="true" t="shared" si="10" ref="I16:I28">IF(G16="","",H16*$H$49)</f>
        <v>24.62686567164179</v>
      </c>
      <c r="J16" s="111" t="str">
        <f>VLOOKUP($A16,Inscription!$B$3:$I$137,7)</f>
        <v>X</v>
      </c>
      <c r="K16" s="156">
        <f>IF(J16="X",Inscription!$I$2,1)</f>
        <v>1.05</v>
      </c>
      <c r="L16" s="112">
        <f aca="true" t="shared" si="11" ref="L16:L28">IF(G16="","",H16*$H$49*K16)</f>
        <v>25.858208955223883</v>
      </c>
      <c r="M16" s="113">
        <f aca="true" t="shared" si="12" ref="M16:M28">IF(G16="","",IF(L16&gt;30,30,L16))</f>
        <v>25.858208955223883</v>
      </c>
      <c r="N16" s="159">
        <f>IF(G16="","",VLOOKUP(C16,Inscription!$C$3:$P$137,13,FALSE))</f>
        <v>5.194119081985949E-06</v>
      </c>
      <c r="O16" s="159">
        <f aca="true" t="shared" si="13" ref="O16:O28">IF(G16="","",L16+N16)</f>
        <v>25.858214149342967</v>
      </c>
      <c r="P16" s="114">
        <f aca="true" t="shared" si="14" ref="P16:P28">IF(G16="","",RANK(O16,$O$3:$O$47,0))</f>
        <v>4</v>
      </c>
    </row>
    <row r="17" spans="1:16" ht="12.75">
      <c r="A17" s="130">
        <v>15</v>
      </c>
      <c r="B17" s="154">
        <f t="shared" si="9"/>
        <v>2</v>
      </c>
      <c r="C17" s="127" t="str">
        <f>VLOOKUP($A17,Inscription!$B$3:$I$137,2)</f>
        <v>Ch'tis</v>
      </c>
      <c r="D17" s="34">
        <v>3</v>
      </c>
      <c r="E17" s="45">
        <v>15</v>
      </c>
      <c r="F17" s="155">
        <f t="shared" si="3"/>
        <v>315</v>
      </c>
      <c r="G17" s="156">
        <f t="shared" si="4"/>
        <v>315</v>
      </c>
      <c r="H17" s="156">
        <f t="shared" si="5"/>
        <v>1.1559633027522935</v>
      </c>
      <c r="I17" s="156">
        <f t="shared" si="10"/>
        <v>28.208955223880597</v>
      </c>
      <c r="J17" s="111">
        <f>VLOOKUP($A17,Inscription!$B$3:$I$137,7)</f>
      </c>
      <c r="K17" s="156">
        <f>IF(J17="X",Inscription!$I$2,1)</f>
        <v>1</v>
      </c>
      <c r="L17" s="112">
        <f t="shared" si="11"/>
        <v>28.208955223880597</v>
      </c>
      <c r="M17" s="113">
        <f t="shared" si="12"/>
        <v>28.208955223880597</v>
      </c>
      <c r="N17" s="159">
        <f>IF(G17="","",VLOOKUP(C17,Inscription!$C$3:$P$137,13,FALSE))</f>
        <v>4.246413812267315E-06</v>
      </c>
      <c r="O17" s="159">
        <f t="shared" si="13"/>
        <v>28.20895947029441</v>
      </c>
      <c r="P17" s="114">
        <f t="shared" si="14"/>
        <v>2</v>
      </c>
    </row>
    <row r="18" spans="1:16" ht="12.75">
      <c r="A18" s="130">
        <v>16</v>
      </c>
      <c r="B18" s="154">
        <f t="shared" si="9"/>
        <v>9</v>
      </c>
      <c r="C18" s="127" t="str">
        <f>VLOOKUP($A18,Inscription!$B$3:$I$137,2)</f>
        <v>Best Ones</v>
      </c>
      <c r="D18" s="34">
        <v>2</v>
      </c>
      <c r="E18" s="45">
        <v>40</v>
      </c>
      <c r="F18" s="155">
        <f t="shared" si="3"/>
        <v>240</v>
      </c>
      <c r="G18" s="156">
        <f t="shared" si="4"/>
        <v>240</v>
      </c>
      <c r="H18" s="156">
        <f t="shared" si="5"/>
        <v>0.8807339449541285</v>
      </c>
      <c r="I18" s="156">
        <f t="shared" si="10"/>
        <v>21.492537313432837</v>
      </c>
      <c r="J18" s="111" t="str">
        <f>VLOOKUP($A18,Inscription!$B$3:$I$137,7)</f>
        <v>X</v>
      </c>
      <c r="K18" s="156">
        <f>IF(J18="X",Inscription!$I$2,1)</f>
        <v>1.05</v>
      </c>
      <c r="L18" s="112">
        <f t="shared" si="11"/>
        <v>22.56716417910448</v>
      </c>
      <c r="M18" s="113">
        <f t="shared" si="12"/>
        <v>22.56716417910448</v>
      </c>
      <c r="N18" s="159">
        <f>IF(G18="","",VLOOKUP(C18,Inscription!$C$3:$P$137,13,FALSE))</f>
        <v>5.7255723354972515E-06</v>
      </c>
      <c r="O18" s="159">
        <f t="shared" si="13"/>
        <v>22.567169904676817</v>
      </c>
      <c r="P18" s="114">
        <f t="shared" si="14"/>
        <v>9</v>
      </c>
    </row>
    <row r="19" spans="1:16" ht="12.75">
      <c r="A19" s="130">
        <v>17</v>
      </c>
      <c r="B19" s="154">
        <f t="shared" si="9"/>
        <v>17</v>
      </c>
      <c r="C19" s="127" t="str">
        <f>VLOOKUP($A19,Inscription!$B$3:$I$137,2)</f>
        <v>Tontons flingueurs</v>
      </c>
      <c r="D19" s="34">
        <v>2</v>
      </c>
      <c r="E19" s="45">
        <v>15</v>
      </c>
      <c r="F19" s="155">
        <f t="shared" si="3"/>
        <v>215</v>
      </c>
      <c r="G19" s="156">
        <f t="shared" si="4"/>
        <v>215</v>
      </c>
      <c r="H19" s="156">
        <f t="shared" si="5"/>
        <v>0.7889908256880734</v>
      </c>
      <c r="I19" s="156">
        <f t="shared" si="10"/>
        <v>19.253731343283583</v>
      </c>
      <c r="J19" s="111">
        <f>VLOOKUP($A19,Inscription!$B$3:$I$137,7)</f>
      </c>
      <c r="K19" s="156">
        <f>IF(J19="X",Inscription!$I$2,1)</f>
        <v>1</v>
      </c>
      <c r="L19" s="112">
        <f t="shared" si="11"/>
        <v>19.253731343283583</v>
      </c>
      <c r="M19" s="113">
        <f t="shared" si="12"/>
        <v>19.253731343283583</v>
      </c>
      <c r="N19" s="159">
        <f>IF(G19="","",VLOOKUP(C19,Inscription!$C$3:$P$137,13,FALSE))</f>
        <v>6.120430495768291E-06</v>
      </c>
      <c r="O19" s="159">
        <f t="shared" si="13"/>
        <v>19.253737463714078</v>
      </c>
      <c r="P19" s="114">
        <f t="shared" si="14"/>
        <v>17</v>
      </c>
    </row>
    <row r="20" spans="1:16" ht="12.75">
      <c r="A20" s="130">
        <v>18</v>
      </c>
      <c r="B20" s="154">
        <f t="shared" si="9"/>
        <v>3</v>
      </c>
      <c r="C20" s="127" t="str">
        <f>VLOOKUP($A20,Inscription!$B$3:$I$137,2)</f>
        <v>Twisters</v>
      </c>
      <c r="D20" s="34">
        <v>2</v>
      </c>
      <c r="E20" s="45">
        <v>96</v>
      </c>
      <c r="F20" s="155">
        <f t="shared" si="3"/>
        <v>296</v>
      </c>
      <c r="G20" s="156">
        <f t="shared" si="4"/>
        <v>296</v>
      </c>
      <c r="H20" s="156">
        <f t="shared" si="5"/>
        <v>1.0862385321100918</v>
      </c>
      <c r="I20" s="156">
        <f t="shared" si="10"/>
        <v>26.507462686567166</v>
      </c>
      <c r="J20" s="111" t="str">
        <f>VLOOKUP($A20,Inscription!$B$3:$I$137,7)</f>
        <v>X</v>
      </c>
      <c r="K20" s="156">
        <f>IF(J20="X",Inscription!$I$2,1)</f>
        <v>1.05</v>
      </c>
      <c r="L20" s="112">
        <f t="shared" si="11"/>
        <v>27.832835820895525</v>
      </c>
      <c r="M20" s="113">
        <f t="shared" si="12"/>
        <v>27.832835820895525</v>
      </c>
      <c r="N20" s="159">
        <f>IF(G20="","",VLOOKUP(C20,Inscription!$C$3:$P$137,13,FALSE))</f>
        <v>4.758288117778342E-06</v>
      </c>
      <c r="O20" s="159">
        <f t="shared" si="13"/>
        <v>27.832840579183642</v>
      </c>
      <c r="P20" s="114">
        <f t="shared" si="14"/>
        <v>3</v>
      </c>
    </row>
    <row r="21" spans="1:16" ht="12.75">
      <c r="A21" s="130">
        <v>19</v>
      </c>
      <c r="B21" s="154">
        <f t="shared" si="9"/>
        <v>10</v>
      </c>
      <c r="C21" s="127" t="str">
        <f>VLOOKUP($A21,Inscription!$B$3:$I$137,2)</f>
        <v>Aigles d'or</v>
      </c>
      <c r="D21" s="34">
        <v>2</v>
      </c>
      <c r="E21" s="45">
        <v>50</v>
      </c>
      <c r="F21" s="155">
        <f t="shared" si="3"/>
        <v>250</v>
      </c>
      <c r="G21" s="156">
        <f t="shared" si="4"/>
        <v>250</v>
      </c>
      <c r="H21" s="156">
        <f t="shared" si="5"/>
        <v>0.9174311926605505</v>
      </c>
      <c r="I21" s="156">
        <f t="shared" si="10"/>
        <v>22.388059701492537</v>
      </c>
      <c r="J21" s="111">
        <f>VLOOKUP($A21,Inscription!$B$3:$I$137,7)</f>
      </c>
      <c r="K21" s="156">
        <f>IF(J21="X",Inscription!$I$2,1)</f>
        <v>1</v>
      </c>
      <c r="L21" s="112">
        <f t="shared" si="11"/>
        <v>22.388059701492537</v>
      </c>
      <c r="M21" s="113">
        <f t="shared" si="12"/>
        <v>22.388059701492537</v>
      </c>
      <c r="N21" s="159">
        <f>IF(G21="","",VLOOKUP(C21,Inscription!$C$3:$P$137,13,FALSE))</f>
        <v>5.08206312405054E-06</v>
      </c>
      <c r="O21" s="159">
        <f t="shared" si="13"/>
        <v>22.38806478355566</v>
      </c>
      <c r="P21" s="114">
        <f t="shared" si="14"/>
        <v>10</v>
      </c>
    </row>
    <row r="22" spans="1:16" ht="12.75">
      <c r="A22" s="130">
        <v>20</v>
      </c>
      <c r="B22" s="154">
        <f t="shared" si="9"/>
      </c>
      <c r="C22" s="127">
        <f>VLOOKUP($A22,Inscription!$B$3:$I$137,2)</f>
        <v>0</v>
      </c>
      <c r="D22" s="34"/>
      <c r="E22" s="45"/>
      <c r="F22" s="155" t="b">
        <f t="shared" si="3"/>
        <v>0</v>
      </c>
      <c r="G22" s="156">
        <f t="shared" si="4"/>
      </c>
      <c r="H22" s="156">
        <f t="shared" si="5"/>
      </c>
      <c r="I22" s="156">
        <f t="shared" si="10"/>
      </c>
      <c r="J22" s="111">
        <f>VLOOKUP($A22,Inscription!$B$3:$I$137,7)</f>
      </c>
      <c r="K22" s="156">
        <f>IF(J22="X",Inscription!$I$2,1)</f>
        <v>1</v>
      </c>
      <c r="L22" s="112">
        <f t="shared" si="11"/>
      </c>
      <c r="M22" s="113">
        <f t="shared" si="12"/>
      </c>
      <c r="N22" s="159">
        <f>IF(G22="","",VLOOKUP(C22,Inscription!$C$3:$P$137,13,FALSE))</f>
      </c>
      <c r="O22" s="159">
        <f t="shared" si="13"/>
      </c>
      <c r="P22" s="114">
        <f t="shared" si="14"/>
      </c>
    </row>
    <row r="23" spans="1:16" ht="12.75">
      <c r="A23" s="130">
        <v>21</v>
      </c>
      <c r="B23" s="154">
        <f t="shared" si="9"/>
      </c>
      <c r="C23" s="127">
        <f>VLOOKUP($A23,Inscription!$B$3:$I$137,2)</f>
        <v>0</v>
      </c>
      <c r="D23" s="34"/>
      <c r="E23" s="45"/>
      <c r="F23" s="155" t="b">
        <f t="shared" si="3"/>
        <v>0</v>
      </c>
      <c r="G23" s="156">
        <f t="shared" si="4"/>
      </c>
      <c r="H23" s="156">
        <f t="shared" si="5"/>
      </c>
      <c r="I23" s="156">
        <f t="shared" si="10"/>
      </c>
      <c r="J23" s="111">
        <f>VLOOKUP($A23,Inscription!$B$3:$I$137,7)</f>
      </c>
      <c r="K23" s="156">
        <f>IF(J23="X",Inscription!$I$2,1)</f>
        <v>1</v>
      </c>
      <c r="L23" s="112">
        <f t="shared" si="11"/>
      </c>
      <c r="M23" s="113">
        <f t="shared" si="12"/>
      </c>
      <c r="N23" s="159">
        <f>IF(G23="","",VLOOKUP(C23,Inscription!$C$3:$P$137,13,FALSE))</f>
      </c>
      <c r="O23" s="159">
        <f t="shared" si="13"/>
      </c>
      <c r="P23" s="114">
        <f t="shared" si="14"/>
      </c>
    </row>
    <row r="24" spans="1:16" ht="12.75">
      <c r="A24" s="130">
        <v>22</v>
      </c>
      <c r="B24" s="154">
        <f t="shared" si="9"/>
      </c>
      <c r="C24" s="127">
        <f>VLOOKUP($A24,Inscription!$B$3:$I$137,2)</f>
        <v>0</v>
      </c>
      <c r="D24" s="34"/>
      <c r="E24" s="45"/>
      <c r="F24" s="155" t="b">
        <f t="shared" si="3"/>
        <v>0</v>
      </c>
      <c r="G24" s="156">
        <f t="shared" si="4"/>
      </c>
      <c r="H24" s="156">
        <f t="shared" si="5"/>
      </c>
      <c r="I24" s="156">
        <f t="shared" si="10"/>
      </c>
      <c r="J24" s="111">
        <f>VLOOKUP($A24,Inscription!$B$3:$I$137,7)</f>
      </c>
      <c r="K24" s="156">
        <f>IF(J24="X",Inscription!$I$2,1)</f>
        <v>1</v>
      </c>
      <c r="L24" s="112">
        <f t="shared" si="11"/>
      </c>
      <c r="M24" s="113">
        <f t="shared" si="12"/>
      </c>
      <c r="N24" s="159">
        <f>IF(G24="","",VLOOKUP(C24,Inscription!$C$3:$P$137,13,FALSE))</f>
      </c>
      <c r="O24" s="159">
        <f t="shared" si="13"/>
      </c>
      <c r="P24" s="114">
        <f t="shared" si="14"/>
      </c>
    </row>
    <row r="25" spans="1:16" ht="12.75">
      <c r="A25" s="130">
        <v>23</v>
      </c>
      <c r="B25" s="154">
        <f t="shared" si="9"/>
      </c>
      <c r="C25" s="127">
        <f>VLOOKUP($A25,Inscription!$B$3:$I$137,2)</f>
        <v>0</v>
      </c>
      <c r="D25" s="34"/>
      <c r="E25" s="45"/>
      <c r="F25" s="155" t="b">
        <f t="shared" si="3"/>
        <v>0</v>
      </c>
      <c r="G25" s="156">
        <f t="shared" si="4"/>
      </c>
      <c r="H25" s="156">
        <f t="shared" si="5"/>
      </c>
      <c r="I25" s="156">
        <f t="shared" si="10"/>
      </c>
      <c r="J25" s="111">
        <f>VLOOKUP($A25,Inscription!$B$3:$I$137,7)</f>
      </c>
      <c r="K25" s="156">
        <f>IF(J25="X",Inscription!$I$2,1)</f>
        <v>1</v>
      </c>
      <c r="L25" s="112">
        <f t="shared" si="11"/>
      </c>
      <c r="M25" s="113">
        <f t="shared" si="12"/>
      </c>
      <c r="N25" s="159">
        <f>IF(G25="","",VLOOKUP(C25,Inscription!$C$3:$P$137,13,FALSE))</f>
      </c>
      <c r="O25" s="159">
        <f t="shared" si="13"/>
      </c>
      <c r="P25" s="114">
        <f t="shared" si="14"/>
      </c>
    </row>
    <row r="26" spans="1:16" ht="12.75">
      <c r="A26" s="130">
        <v>24</v>
      </c>
      <c r="B26" s="154">
        <f t="shared" si="9"/>
      </c>
      <c r="C26" s="127">
        <f>VLOOKUP($A26,Inscription!$B$3:$I$137,2)</f>
        <v>0</v>
      </c>
      <c r="D26" s="34"/>
      <c r="E26" s="45"/>
      <c r="F26" s="155" t="b">
        <f t="shared" si="3"/>
        <v>0</v>
      </c>
      <c r="G26" s="156">
        <f t="shared" si="4"/>
      </c>
      <c r="H26" s="156">
        <f t="shared" si="5"/>
      </c>
      <c r="I26" s="156">
        <f t="shared" si="10"/>
      </c>
      <c r="J26" s="111">
        <f>VLOOKUP($A26,Inscription!$B$3:$I$137,7)</f>
      </c>
      <c r="K26" s="156">
        <f>IF(J26="X",Inscription!$I$2,1)</f>
        <v>1</v>
      </c>
      <c r="L26" s="112">
        <f t="shared" si="11"/>
      </c>
      <c r="M26" s="113">
        <f t="shared" si="12"/>
      </c>
      <c r="N26" s="159">
        <f>IF(G26="","",VLOOKUP(C26,Inscription!$C$3:$P$137,13,FALSE))</f>
      </c>
      <c r="O26" s="159">
        <f t="shared" si="13"/>
      </c>
      <c r="P26" s="114">
        <f t="shared" si="14"/>
      </c>
    </row>
    <row r="27" spans="1:16" ht="12.75">
      <c r="A27" s="130">
        <v>25</v>
      </c>
      <c r="B27" s="154">
        <f t="shared" si="9"/>
      </c>
      <c r="C27" s="127">
        <f>VLOOKUP($A27,Inscription!$B$3:$I$137,2)</f>
        <v>0</v>
      </c>
      <c r="D27" s="34"/>
      <c r="E27" s="45"/>
      <c r="F27" s="155" t="b">
        <f t="shared" si="3"/>
        <v>0</v>
      </c>
      <c r="G27" s="156">
        <f t="shared" si="4"/>
      </c>
      <c r="H27" s="156">
        <f t="shared" si="5"/>
      </c>
      <c r="I27" s="156">
        <f t="shared" si="10"/>
      </c>
      <c r="J27" s="111">
        <f>VLOOKUP($A27,Inscription!$B$3:$I$137,7)</f>
      </c>
      <c r="K27" s="156">
        <f>IF(J27="X",Inscription!$I$2,1)</f>
        <v>1</v>
      </c>
      <c r="L27" s="112">
        <f t="shared" si="11"/>
      </c>
      <c r="M27" s="113">
        <f t="shared" si="12"/>
      </c>
      <c r="N27" s="159">
        <f>IF(G27="","",VLOOKUP(C27,Inscription!$C$3:$P$137,13,FALSE))</f>
      </c>
      <c r="O27" s="159">
        <f t="shared" si="13"/>
      </c>
      <c r="P27" s="114">
        <f t="shared" si="14"/>
      </c>
    </row>
    <row r="28" spans="1:16" ht="12.75">
      <c r="A28" s="130">
        <v>26</v>
      </c>
      <c r="B28" s="154">
        <f t="shared" si="9"/>
      </c>
      <c r="C28" s="127">
        <f>VLOOKUP($A28,Inscription!$B$3:$I$137,2)</f>
        <v>0</v>
      </c>
      <c r="D28" s="34"/>
      <c r="E28" s="45"/>
      <c r="F28" s="155" t="b">
        <f t="shared" si="3"/>
        <v>0</v>
      </c>
      <c r="G28" s="156">
        <f t="shared" si="4"/>
      </c>
      <c r="H28" s="156">
        <f t="shared" si="5"/>
      </c>
      <c r="I28" s="156">
        <f t="shared" si="10"/>
      </c>
      <c r="J28" s="111">
        <f>VLOOKUP($A28,Inscription!$B$3:$I$137,7)</f>
      </c>
      <c r="K28" s="156">
        <f>IF(J28="X",Inscription!$I$2,1)</f>
        <v>1</v>
      </c>
      <c r="L28" s="112">
        <f t="shared" si="11"/>
      </c>
      <c r="M28" s="113">
        <f t="shared" si="12"/>
      </c>
      <c r="N28" s="159">
        <f>IF(G28="","",VLOOKUP(C28,Inscription!$C$3:$P$137,13,FALSE))</f>
      </c>
      <c r="O28" s="159">
        <f t="shared" si="13"/>
      </c>
      <c r="P28" s="114">
        <f t="shared" si="14"/>
      </c>
    </row>
    <row r="29" spans="1:16" ht="12.75">
      <c r="A29" s="130">
        <v>27</v>
      </c>
      <c r="B29" s="154">
        <f t="shared" si="2"/>
      </c>
      <c r="C29" s="127">
        <f>VLOOKUP($A29,Inscription!$B$3:$I$137,2)</f>
        <v>0</v>
      </c>
      <c r="D29" s="34"/>
      <c r="E29" s="45"/>
      <c r="F29" s="155" t="b">
        <f t="shared" si="3"/>
        <v>0</v>
      </c>
      <c r="G29" s="156">
        <f t="shared" si="4"/>
      </c>
      <c r="H29" s="156">
        <f t="shared" si="5"/>
      </c>
      <c r="I29" s="156">
        <f t="shared" si="6"/>
      </c>
      <c r="J29" s="111">
        <f>VLOOKUP($A29,Inscription!$B$3:$I$137,7)</f>
      </c>
      <c r="K29" s="156">
        <f>IF(J29="X",Inscription!$I$2,1)</f>
        <v>1</v>
      </c>
      <c r="L29" s="112">
        <f t="shared" si="7"/>
      </c>
      <c r="M29" s="113">
        <f t="shared" si="0"/>
      </c>
      <c r="N29" s="159">
        <f>IF(G29="","",VLOOKUP(C29,Inscription!$C$3:$P$137,13,FALSE))</f>
      </c>
      <c r="O29" s="159">
        <f t="shared" si="8"/>
      </c>
      <c r="P29" s="114">
        <f t="shared" si="1"/>
      </c>
    </row>
    <row r="30" spans="1:16" ht="12.75">
      <c r="A30" s="130">
        <v>28</v>
      </c>
      <c r="B30" s="154">
        <f t="shared" si="2"/>
      </c>
      <c r="C30" s="127">
        <f>VLOOKUP($A30,Inscription!$B$3:$I$137,2)</f>
        <v>0</v>
      </c>
      <c r="D30" s="34"/>
      <c r="E30" s="45"/>
      <c r="F30" s="155" t="b">
        <f t="shared" si="3"/>
        <v>0</v>
      </c>
      <c r="G30" s="156">
        <f t="shared" si="4"/>
      </c>
      <c r="H30" s="156">
        <f t="shared" si="5"/>
      </c>
      <c r="I30" s="156">
        <f t="shared" si="6"/>
      </c>
      <c r="J30" s="111">
        <f>VLOOKUP($A30,Inscription!$B$3:$I$137,7)</f>
      </c>
      <c r="K30" s="156">
        <f>IF(J30="X",Inscription!$I$2,1)</f>
        <v>1</v>
      </c>
      <c r="L30" s="112">
        <f t="shared" si="7"/>
      </c>
      <c r="M30" s="113">
        <f t="shared" si="0"/>
      </c>
      <c r="N30" s="159">
        <f>IF(G30="","",VLOOKUP(C30,Inscription!$C$3:$P$137,13,FALSE))</f>
      </c>
      <c r="O30" s="159">
        <f t="shared" si="8"/>
      </c>
      <c r="P30" s="114">
        <f t="shared" si="1"/>
      </c>
    </row>
    <row r="31" spans="1:16" ht="12.75">
      <c r="A31" s="130">
        <v>29</v>
      </c>
      <c r="B31" s="154">
        <f t="shared" si="2"/>
      </c>
      <c r="C31" s="127">
        <f>VLOOKUP($A31,Inscription!$B$3:$I$137,2)</f>
        <v>0</v>
      </c>
      <c r="D31" s="34"/>
      <c r="E31" s="45"/>
      <c r="F31" s="155" t="b">
        <f t="shared" si="3"/>
        <v>0</v>
      </c>
      <c r="G31" s="156">
        <f t="shared" si="4"/>
      </c>
      <c r="H31" s="156">
        <f t="shared" si="5"/>
      </c>
      <c r="I31" s="156">
        <f t="shared" si="6"/>
      </c>
      <c r="J31" s="111">
        <f>VLOOKUP($A31,Inscription!$B$3:$I$137,7)</f>
      </c>
      <c r="K31" s="156">
        <f>IF(J31="X",Inscription!$I$2,1)</f>
        <v>1</v>
      </c>
      <c r="L31" s="112">
        <f t="shared" si="7"/>
      </c>
      <c r="M31" s="113">
        <f t="shared" si="0"/>
      </c>
      <c r="N31" s="159">
        <f>IF(G31="","",VLOOKUP(C31,Inscription!$C$3:$P$137,13,FALSE))</f>
      </c>
      <c r="O31" s="159">
        <f t="shared" si="8"/>
      </c>
      <c r="P31" s="114">
        <f t="shared" si="1"/>
      </c>
    </row>
    <row r="32" spans="1:16" ht="12.75">
      <c r="A32" s="130">
        <v>30</v>
      </c>
      <c r="B32" s="154">
        <f t="shared" si="2"/>
      </c>
      <c r="C32" s="127">
        <f>VLOOKUP($A32,Inscription!$B$3:$I$137,2)</f>
        <v>0</v>
      </c>
      <c r="D32" s="34"/>
      <c r="E32" s="45"/>
      <c r="F32" s="155" t="b">
        <f t="shared" si="3"/>
        <v>0</v>
      </c>
      <c r="G32" s="156">
        <f t="shared" si="4"/>
      </c>
      <c r="H32" s="156">
        <f t="shared" si="5"/>
      </c>
      <c r="I32" s="156">
        <f t="shared" si="6"/>
      </c>
      <c r="J32" s="111">
        <f>VLOOKUP($A32,Inscription!$B$3:$I$137,7)</f>
      </c>
      <c r="K32" s="156">
        <f>IF(J32="X",Inscription!$I$2,1)</f>
        <v>1</v>
      </c>
      <c r="L32" s="112">
        <f t="shared" si="7"/>
      </c>
      <c r="M32" s="113">
        <f t="shared" si="0"/>
      </c>
      <c r="N32" s="159">
        <f>IF(G32="","",VLOOKUP(C32,Inscription!$C$3:$P$137,13,FALSE))</f>
      </c>
      <c r="O32" s="159">
        <f t="shared" si="8"/>
      </c>
      <c r="P32" s="114">
        <f t="shared" si="1"/>
      </c>
    </row>
    <row r="33" spans="1:16" ht="12.75">
      <c r="A33" s="130">
        <v>31</v>
      </c>
      <c r="B33" s="154">
        <f t="shared" si="2"/>
      </c>
      <c r="C33" s="127">
        <f>VLOOKUP($A33,Inscription!$B$3:$I$137,2)</f>
        <v>0</v>
      </c>
      <c r="D33" s="34"/>
      <c r="E33" s="45"/>
      <c r="F33" s="155" t="b">
        <f t="shared" si="3"/>
        <v>0</v>
      </c>
      <c r="G33" s="156">
        <f t="shared" si="4"/>
      </c>
      <c r="H33" s="156">
        <f t="shared" si="5"/>
      </c>
      <c r="I33" s="156">
        <f t="shared" si="6"/>
      </c>
      <c r="J33" s="111">
        <f>VLOOKUP($A33,Inscription!$B$3:$I$137,7)</f>
      </c>
      <c r="K33" s="156">
        <f>IF(J33="X",Inscription!$I$2,1)</f>
        <v>1</v>
      </c>
      <c r="L33" s="112">
        <f t="shared" si="7"/>
      </c>
      <c r="M33" s="113">
        <f t="shared" si="0"/>
      </c>
      <c r="N33" s="159">
        <f>IF(G33="","",VLOOKUP(C33,Inscription!$C$3:$P$137,13,FALSE))</f>
      </c>
      <c r="O33" s="159">
        <f t="shared" si="8"/>
      </c>
      <c r="P33" s="114">
        <f t="shared" si="1"/>
      </c>
    </row>
    <row r="34" spans="1:16" ht="12.75">
      <c r="A34" s="130">
        <v>32</v>
      </c>
      <c r="B34" s="154">
        <f t="shared" si="2"/>
      </c>
      <c r="C34" s="127">
        <f>VLOOKUP($A34,Inscription!$B$3:$I$137,2)</f>
        <v>0</v>
      </c>
      <c r="D34" s="34"/>
      <c r="E34" s="45"/>
      <c r="F34" s="155" t="b">
        <f t="shared" si="3"/>
        <v>0</v>
      </c>
      <c r="G34" s="156">
        <f t="shared" si="4"/>
      </c>
      <c r="H34" s="156">
        <f t="shared" si="5"/>
      </c>
      <c r="I34" s="156">
        <f t="shared" si="6"/>
      </c>
      <c r="J34" s="111">
        <f>VLOOKUP($A34,Inscription!$B$3:$I$137,7)</f>
      </c>
      <c r="K34" s="156">
        <f>IF(J34="X",Inscription!$I$2,1)</f>
        <v>1</v>
      </c>
      <c r="L34" s="112">
        <f t="shared" si="7"/>
      </c>
      <c r="M34" s="113">
        <f t="shared" si="0"/>
      </c>
      <c r="N34" s="159">
        <f>IF(G34="","",VLOOKUP(C34,Inscription!$C$3:$P$137,13,FALSE))</f>
      </c>
      <c r="O34" s="159">
        <f t="shared" si="8"/>
      </c>
      <c r="P34" s="114">
        <f t="shared" si="1"/>
      </c>
    </row>
    <row r="35" spans="1:16" ht="12.75">
      <c r="A35" s="130">
        <v>33</v>
      </c>
      <c r="B35" s="154">
        <f t="shared" si="2"/>
      </c>
      <c r="C35" s="127">
        <f>VLOOKUP($A35,Inscription!$B$3:$I$137,2)</f>
        <v>0</v>
      </c>
      <c r="D35" s="34"/>
      <c r="E35" s="45"/>
      <c r="F35" s="155" t="b">
        <f t="shared" si="3"/>
        <v>0</v>
      </c>
      <c r="G35" s="156">
        <f t="shared" si="4"/>
      </c>
      <c r="H35" s="156">
        <f t="shared" si="5"/>
      </c>
      <c r="I35" s="156">
        <f t="shared" si="6"/>
      </c>
      <c r="J35" s="111">
        <f>VLOOKUP($A35,Inscription!$B$3:$I$137,7)</f>
      </c>
      <c r="K35" s="156">
        <f>IF(J35="X",Inscription!$I$2,1)</f>
        <v>1</v>
      </c>
      <c r="L35" s="112">
        <f t="shared" si="7"/>
      </c>
      <c r="M35" s="113">
        <f t="shared" si="0"/>
      </c>
      <c r="N35" s="159">
        <f>IF(G35="","",VLOOKUP(C35,Inscription!$C$3:$P$137,13,FALSE))</f>
      </c>
      <c r="O35" s="159">
        <f t="shared" si="8"/>
      </c>
      <c r="P35" s="114">
        <f t="shared" si="1"/>
      </c>
    </row>
    <row r="36" spans="1:16" ht="12.75">
      <c r="A36" s="130">
        <v>34</v>
      </c>
      <c r="B36" s="154">
        <f t="shared" si="2"/>
      </c>
      <c r="C36" s="127">
        <f>VLOOKUP($A36,Inscription!$B$3:$I$137,2)</f>
        <v>0</v>
      </c>
      <c r="D36" s="34"/>
      <c r="E36" s="45"/>
      <c r="F36" s="155" t="b">
        <f t="shared" si="3"/>
        <v>0</v>
      </c>
      <c r="G36" s="156">
        <f t="shared" si="4"/>
      </c>
      <c r="H36" s="156">
        <f t="shared" si="5"/>
      </c>
      <c r="I36" s="156">
        <f t="shared" si="6"/>
      </c>
      <c r="J36" s="111">
        <f>VLOOKUP($A36,Inscription!$B$3:$I$137,7)</f>
      </c>
      <c r="K36" s="156">
        <f>IF(J36="X",Inscription!$I$2,1)</f>
        <v>1</v>
      </c>
      <c r="L36" s="112">
        <f t="shared" si="7"/>
      </c>
      <c r="M36" s="113">
        <f t="shared" si="0"/>
      </c>
      <c r="N36" s="159">
        <f>IF(G36="","",VLOOKUP(C36,Inscription!$C$3:$P$137,13,FALSE))</f>
      </c>
      <c r="O36" s="159">
        <f t="shared" si="8"/>
      </c>
      <c r="P36" s="114">
        <f t="shared" si="1"/>
      </c>
    </row>
    <row r="37" spans="1:16" ht="12.75">
      <c r="A37" s="130">
        <v>35</v>
      </c>
      <c r="B37" s="154">
        <f t="shared" si="2"/>
      </c>
      <c r="C37" s="127">
        <f>VLOOKUP($A37,Inscription!$B$3:$I$137,2)</f>
        <v>0</v>
      </c>
      <c r="D37" s="34"/>
      <c r="E37" s="45"/>
      <c r="F37" s="155" t="b">
        <f t="shared" si="3"/>
        <v>0</v>
      </c>
      <c r="G37" s="156">
        <f t="shared" si="4"/>
      </c>
      <c r="H37" s="156">
        <f t="shared" si="5"/>
      </c>
      <c r="I37" s="156">
        <f t="shared" si="6"/>
      </c>
      <c r="J37" s="111">
        <f>VLOOKUP($A37,Inscription!$B$3:$I$137,7)</f>
      </c>
      <c r="K37" s="156">
        <f>IF(J37="X",Inscription!$I$2,1)</f>
        <v>1</v>
      </c>
      <c r="L37" s="112">
        <f t="shared" si="7"/>
      </c>
      <c r="M37" s="113">
        <f t="shared" si="0"/>
      </c>
      <c r="N37" s="159">
        <f>IF(G37="","",VLOOKUP(C37,Inscription!$C$3:$P$137,13,FALSE))</f>
      </c>
      <c r="O37" s="159">
        <f t="shared" si="8"/>
      </c>
      <c r="P37" s="114">
        <f t="shared" si="1"/>
      </c>
    </row>
    <row r="38" spans="1:16" ht="12.75">
      <c r="A38" s="130">
        <v>36</v>
      </c>
      <c r="B38" s="154">
        <f t="shared" si="2"/>
      </c>
      <c r="C38" s="127">
        <f>VLOOKUP($A38,Inscription!$B$3:$I$137,2)</f>
        <v>0</v>
      </c>
      <c r="D38" s="34"/>
      <c r="E38" s="45"/>
      <c r="F38" s="155" t="b">
        <f t="shared" si="3"/>
        <v>0</v>
      </c>
      <c r="G38" s="156">
        <f t="shared" si="4"/>
      </c>
      <c r="H38" s="156">
        <f t="shared" si="5"/>
      </c>
      <c r="I38" s="156">
        <f t="shared" si="6"/>
      </c>
      <c r="J38" s="111">
        <f>VLOOKUP($A38,Inscription!$B$3:$I$137,7)</f>
      </c>
      <c r="K38" s="156">
        <f>IF(J38="X",Inscription!$I$2,1)</f>
        <v>1</v>
      </c>
      <c r="L38" s="112">
        <f t="shared" si="7"/>
      </c>
      <c r="M38" s="113">
        <f t="shared" si="0"/>
      </c>
      <c r="N38" s="159">
        <f>IF(G38="","",VLOOKUP(C38,Inscription!$C$3:$P$137,13,FALSE))</f>
      </c>
      <c r="O38" s="159">
        <f t="shared" si="8"/>
      </c>
      <c r="P38" s="114">
        <f t="shared" si="1"/>
      </c>
    </row>
    <row r="39" spans="1:16" ht="12.75">
      <c r="A39" s="130">
        <v>37</v>
      </c>
      <c r="B39" s="154">
        <f t="shared" si="2"/>
      </c>
      <c r="C39" s="127">
        <f>VLOOKUP($A39,Inscription!$B$3:$I$137,2)</f>
        <v>0</v>
      </c>
      <c r="D39" s="34"/>
      <c r="E39" s="45"/>
      <c r="F39" s="155" t="b">
        <f t="shared" si="3"/>
        <v>0</v>
      </c>
      <c r="G39" s="156">
        <f t="shared" si="4"/>
      </c>
      <c r="H39" s="156">
        <f t="shared" si="5"/>
      </c>
      <c r="I39" s="156">
        <f t="shared" si="6"/>
      </c>
      <c r="J39" s="111">
        <f>VLOOKUP($A39,Inscription!$B$3:$I$137,7)</f>
      </c>
      <c r="K39" s="156">
        <f>IF(J39="X",Inscription!$I$2,1)</f>
        <v>1</v>
      </c>
      <c r="L39" s="112">
        <f t="shared" si="7"/>
      </c>
      <c r="M39" s="113">
        <f t="shared" si="0"/>
      </c>
      <c r="N39" s="159">
        <f>IF(G39="","",VLOOKUP(C39,Inscription!$C$3:$P$137,13,FALSE))</f>
      </c>
      <c r="O39" s="159">
        <f t="shared" si="8"/>
      </c>
      <c r="P39" s="114">
        <f t="shared" si="1"/>
      </c>
    </row>
    <row r="40" spans="1:16" ht="12.75">
      <c r="A40" s="130">
        <v>38</v>
      </c>
      <c r="B40" s="154">
        <f t="shared" si="2"/>
      </c>
      <c r="C40" s="127">
        <f>VLOOKUP($A40,Inscription!$B$3:$I$137,2)</f>
        <v>0</v>
      </c>
      <c r="D40" s="34"/>
      <c r="E40" s="45"/>
      <c r="F40" s="155" t="b">
        <f t="shared" si="3"/>
        <v>0</v>
      </c>
      <c r="G40" s="156">
        <f t="shared" si="4"/>
      </c>
      <c r="H40" s="156">
        <f t="shared" si="5"/>
      </c>
      <c r="I40" s="156">
        <f t="shared" si="6"/>
      </c>
      <c r="J40" s="111">
        <f>VLOOKUP($A40,Inscription!$B$3:$I$137,7)</f>
      </c>
      <c r="K40" s="156">
        <f>IF(J40="X",Inscription!$I$2,1)</f>
        <v>1</v>
      </c>
      <c r="L40" s="112">
        <f t="shared" si="7"/>
      </c>
      <c r="M40" s="113">
        <f t="shared" si="0"/>
      </c>
      <c r="N40" s="159">
        <f>IF(G40="","",VLOOKUP(C40,Inscription!$C$3:$P$137,13,FALSE))</f>
      </c>
      <c r="O40" s="159">
        <f t="shared" si="8"/>
      </c>
      <c r="P40" s="114">
        <f t="shared" si="1"/>
      </c>
    </row>
    <row r="41" spans="1:16" ht="12.75">
      <c r="A41" s="130">
        <v>39</v>
      </c>
      <c r="B41" s="154">
        <f t="shared" si="2"/>
      </c>
      <c r="C41" s="127">
        <f>VLOOKUP($A41,Inscription!$B$3:$I$137,2)</f>
        <v>0</v>
      </c>
      <c r="D41" s="34"/>
      <c r="E41" s="45"/>
      <c r="F41" s="155" t="b">
        <f t="shared" si="3"/>
        <v>0</v>
      </c>
      <c r="G41" s="156">
        <f t="shared" si="4"/>
      </c>
      <c r="H41" s="156">
        <f t="shared" si="5"/>
      </c>
      <c r="I41" s="156">
        <f t="shared" si="6"/>
      </c>
      <c r="J41" s="111">
        <f>VLOOKUP($A41,Inscription!$B$3:$I$137,7)</f>
      </c>
      <c r="K41" s="156">
        <f>IF(J41="X",Inscription!$I$2,1)</f>
        <v>1</v>
      </c>
      <c r="L41" s="112">
        <f t="shared" si="7"/>
      </c>
      <c r="M41" s="113">
        <f t="shared" si="0"/>
      </c>
      <c r="N41" s="159">
        <f>IF(G41="","",VLOOKUP(C41,Inscription!$C$3:$P$137,13,FALSE))</f>
      </c>
      <c r="O41" s="159">
        <f t="shared" si="8"/>
      </c>
      <c r="P41" s="114">
        <f t="shared" si="1"/>
      </c>
    </row>
    <row r="42" spans="1:16" ht="12.75">
      <c r="A42" s="130">
        <v>40</v>
      </c>
      <c r="B42" s="154">
        <f t="shared" si="2"/>
      </c>
      <c r="C42" s="127">
        <f>VLOOKUP($A42,Inscription!$B$3:$I$137,2)</f>
        <v>0</v>
      </c>
      <c r="D42" s="34"/>
      <c r="E42" s="45"/>
      <c r="F42" s="155" t="b">
        <f t="shared" si="3"/>
        <v>0</v>
      </c>
      <c r="G42" s="156">
        <f t="shared" si="4"/>
      </c>
      <c r="H42" s="156">
        <f t="shared" si="5"/>
      </c>
      <c r="I42" s="156">
        <f t="shared" si="6"/>
      </c>
      <c r="J42" s="111">
        <f>VLOOKUP($A42,Inscription!$B$3:$I$137,7)</f>
      </c>
      <c r="K42" s="156">
        <f>IF(J42="X",Inscription!$I$2,1)</f>
        <v>1</v>
      </c>
      <c r="L42" s="112">
        <f t="shared" si="7"/>
      </c>
      <c r="M42" s="113">
        <f t="shared" si="0"/>
      </c>
      <c r="N42" s="159">
        <f>IF(G42="","",VLOOKUP(C42,Inscription!$C$3:$P$137,13,FALSE))</f>
      </c>
      <c r="O42" s="159">
        <f t="shared" si="8"/>
      </c>
      <c r="P42" s="114">
        <f t="shared" si="1"/>
      </c>
    </row>
    <row r="43" spans="1:16" ht="12.75">
      <c r="A43" s="130">
        <v>41</v>
      </c>
      <c r="B43" s="154">
        <f t="shared" si="2"/>
      </c>
      <c r="C43" s="127">
        <f>VLOOKUP($A43,Inscription!$B$3:$I$137,2)</f>
        <v>0</v>
      </c>
      <c r="D43" s="34"/>
      <c r="E43" s="45"/>
      <c r="F43" s="155" t="b">
        <f t="shared" si="3"/>
        <v>0</v>
      </c>
      <c r="G43" s="156">
        <f t="shared" si="4"/>
      </c>
      <c r="H43" s="156">
        <f t="shared" si="5"/>
      </c>
      <c r="I43" s="156">
        <f t="shared" si="6"/>
      </c>
      <c r="J43" s="111">
        <f>VLOOKUP($A43,Inscription!$B$3:$I$137,7)</f>
      </c>
      <c r="K43" s="156">
        <f>IF(J43="X",Inscription!$I$2,1)</f>
        <v>1</v>
      </c>
      <c r="L43" s="112">
        <f t="shared" si="7"/>
      </c>
      <c r="M43" s="113">
        <f t="shared" si="0"/>
      </c>
      <c r="N43" s="159">
        <f>IF(G43="","",VLOOKUP(C43,Inscription!$C$3:$P$137,13,FALSE))</f>
      </c>
      <c r="O43" s="159">
        <f t="shared" si="8"/>
      </c>
      <c r="P43" s="114">
        <f t="shared" si="1"/>
      </c>
    </row>
    <row r="44" spans="1:16" ht="12.75">
      <c r="A44" s="130">
        <v>42</v>
      </c>
      <c r="B44" s="154">
        <f t="shared" si="2"/>
      </c>
      <c r="C44" s="127">
        <f>VLOOKUP($A44,Inscription!$B$3:$I$137,2)</f>
        <v>0</v>
      </c>
      <c r="D44" s="34"/>
      <c r="E44" s="45"/>
      <c r="F44" s="155" t="b">
        <f t="shared" si="3"/>
        <v>0</v>
      </c>
      <c r="G44" s="156">
        <f t="shared" si="4"/>
      </c>
      <c r="H44" s="156">
        <f t="shared" si="5"/>
      </c>
      <c r="I44" s="156">
        <f t="shared" si="6"/>
      </c>
      <c r="J44" s="111">
        <f>VLOOKUP($A44,Inscription!$B$3:$I$137,7)</f>
      </c>
      <c r="K44" s="156">
        <f>IF(J44="X",Inscription!$I$2,1)</f>
        <v>1</v>
      </c>
      <c r="L44" s="112">
        <f t="shared" si="7"/>
      </c>
      <c r="M44" s="113">
        <f t="shared" si="0"/>
      </c>
      <c r="N44" s="159">
        <f>IF(G44="","",VLOOKUP(C44,Inscription!$C$3:$P$137,13,FALSE))</f>
      </c>
      <c r="O44" s="159">
        <f t="shared" si="8"/>
      </c>
      <c r="P44" s="114">
        <f t="shared" si="1"/>
      </c>
    </row>
    <row r="45" spans="1:16" ht="12.75">
      <c r="A45" s="130">
        <v>43</v>
      </c>
      <c r="B45" s="154">
        <f t="shared" si="2"/>
      </c>
      <c r="C45" s="127">
        <f>VLOOKUP($A45,Inscription!$B$3:$I$137,2)</f>
        <v>0</v>
      </c>
      <c r="D45" s="34"/>
      <c r="E45" s="45"/>
      <c r="F45" s="155" t="b">
        <f t="shared" si="3"/>
        <v>0</v>
      </c>
      <c r="G45" s="156">
        <f t="shared" si="4"/>
      </c>
      <c r="H45" s="156">
        <f t="shared" si="5"/>
      </c>
      <c r="I45" s="156">
        <f t="shared" si="6"/>
      </c>
      <c r="J45" s="111">
        <f>VLOOKUP($A45,Inscription!$B$3:$I$137,7)</f>
      </c>
      <c r="K45" s="156">
        <f>IF(J45="X",Inscription!$I$2,1)</f>
        <v>1</v>
      </c>
      <c r="L45" s="112">
        <f t="shared" si="7"/>
      </c>
      <c r="M45" s="113">
        <f t="shared" si="0"/>
      </c>
      <c r="N45" s="159">
        <f>IF(G45="","",VLOOKUP(C45,Inscription!$C$3:$P$137,13,FALSE))</f>
      </c>
      <c r="O45" s="159">
        <f t="shared" si="8"/>
      </c>
      <c r="P45" s="114">
        <f t="shared" si="1"/>
      </c>
    </row>
    <row r="46" spans="1:16" ht="12.75">
      <c r="A46" s="130">
        <v>44</v>
      </c>
      <c r="B46" s="154">
        <f t="shared" si="2"/>
      </c>
      <c r="C46" s="127">
        <f>VLOOKUP($A46,Inscription!$B$3:$I$137,2)</f>
        <v>0</v>
      </c>
      <c r="D46" s="34"/>
      <c r="E46" s="45"/>
      <c r="F46" s="155" t="b">
        <f t="shared" si="3"/>
        <v>0</v>
      </c>
      <c r="G46" s="156">
        <f t="shared" si="4"/>
      </c>
      <c r="H46" s="156">
        <f t="shared" si="5"/>
      </c>
      <c r="I46" s="156">
        <f t="shared" si="6"/>
      </c>
      <c r="J46" s="111">
        <f>VLOOKUP($A46,Inscription!$B$3:$I$137,7)</f>
      </c>
      <c r="K46" s="156">
        <f>IF(J46="X",Inscription!$I$2,1)</f>
        <v>1</v>
      </c>
      <c r="L46" s="112">
        <f t="shared" si="7"/>
      </c>
      <c r="M46" s="113">
        <f t="shared" si="0"/>
      </c>
      <c r="N46" s="159">
        <f>IF(G46="","",VLOOKUP(C46,Inscription!$C$3:$P$137,13,FALSE))</f>
      </c>
      <c r="O46" s="159">
        <f t="shared" si="8"/>
      </c>
      <c r="P46" s="114">
        <f t="shared" si="1"/>
      </c>
    </row>
    <row r="47" spans="1:16" ht="13.5" thickBot="1">
      <c r="A47" s="130">
        <v>45</v>
      </c>
      <c r="B47" s="154">
        <f t="shared" si="2"/>
      </c>
      <c r="C47" s="128">
        <f>VLOOKUP($A47,Inscription!$B$3:$I$137,2)</f>
        <v>0</v>
      </c>
      <c r="D47" s="35"/>
      <c r="E47" s="46"/>
      <c r="F47" s="155" t="b">
        <f t="shared" si="3"/>
        <v>0</v>
      </c>
      <c r="G47" s="158">
        <f t="shared" si="4"/>
      </c>
      <c r="H47" s="158">
        <f t="shared" si="5"/>
      </c>
      <c r="I47" s="158">
        <f t="shared" si="6"/>
      </c>
      <c r="J47" s="115">
        <f>VLOOKUP($A47,Inscription!$B$3:$I$137,7)</f>
      </c>
      <c r="K47" s="158">
        <f>IF(J47="X",Inscription!$I$2,1)</f>
        <v>1</v>
      </c>
      <c r="L47" s="116">
        <f t="shared" si="7"/>
      </c>
      <c r="M47" s="117">
        <f t="shared" si="0"/>
      </c>
      <c r="N47" s="160">
        <f>IF(G47="","",VLOOKUP(C47,Inscription!$C$3:$P$137,13,FALSE))</f>
      </c>
      <c r="O47" s="160">
        <f t="shared" si="8"/>
      </c>
      <c r="P47" s="118">
        <f t="shared" si="1"/>
      </c>
    </row>
    <row r="48" spans="7:16" ht="12.75">
      <c r="G48" s="40">
        <f>AVERAGE(F49:F50)</f>
        <v>272.5</v>
      </c>
      <c r="J48" s="1"/>
      <c r="N48" s="2"/>
      <c r="O48" s="2"/>
      <c r="P48" s="1"/>
    </row>
    <row r="49" spans="4:16" ht="12.75">
      <c r="D49" s="343" t="s">
        <v>24</v>
      </c>
      <c r="E49" s="343"/>
      <c r="F49">
        <f>SMALL(F$3:F$47,1)</f>
        <v>210</v>
      </c>
      <c r="G49" s="40">
        <f>VLOOKUP(F50,G3:H47,2,FALSE)</f>
        <v>1.2293577981651376</v>
      </c>
      <c r="H49">
        <f>30/G49</f>
        <v>24.402985074626866</v>
      </c>
      <c r="J49" s="1"/>
      <c r="N49" s="2"/>
      <c r="O49" s="2"/>
      <c r="P49" s="1"/>
    </row>
    <row r="50" spans="4:16" ht="12.75">
      <c r="D50" s="343" t="s">
        <v>25</v>
      </c>
      <c r="E50" s="343"/>
      <c r="F50">
        <f>LARGE(F$3:F$47,1)</f>
        <v>335</v>
      </c>
      <c r="J50" s="1"/>
      <c r="N50" s="2"/>
      <c r="O50" s="2"/>
      <c r="P50" s="1"/>
    </row>
    <row r="51" spans="10:16" ht="12.75">
      <c r="J51" s="1"/>
      <c r="N51" s="2"/>
      <c r="O51" s="2"/>
      <c r="P51" s="1"/>
    </row>
  </sheetData>
  <sheetProtection password="DB53" sheet="1" objects="1" scenarios="1"/>
  <mergeCells count="6">
    <mergeCell ref="U4:V4"/>
    <mergeCell ref="U5:V6"/>
    <mergeCell ref="D49:E49"/>
    <mergeCell ref="D50:E50"/>
    <mergeCell ref="F2:G2"/>
    <mergeCell ref="J2:L2"/>
  </mergeCells>
  <conditionalFormatting sqref="C3:C47">
    <cfRule type="cellIs" priority="1" dxfId="8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landscape" paperSize="9" scale="7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V51"/>
  <sheetViews>
    <sheetView workbookViewId="0" topLeftCell="A1">
      <selection activeCell="P19" sqref="P19"/>
    </sheetView>
  </sheetViews>
  <sheetFormatPr defaultColWidth="11.421875" defaultRowHeight="12.75"/>
  <cols>
    <col min="1" max="1" width="1.8515625" style="129" customWidth="1"/>
    <col min="2" max="2" width="3.421875" style="0" hidden="1" customWidth="1"/>
    <col min="3" max="3" width="32.7109375" style="0" customWidth="1"/>
    <col min="4" max="4" width="5.421875" style="0" customWidth="1"/>
    <col min="5" max="5" width="4.57421875" style="0" customWidth="1"/>
    <col min="6" max="9" width="11.421875" style="0" hidden="1" customWidth="1"/>
    <col min="10" max="10" width="6.421875" style="0" customWidth="1"/>
    <col min="11" max="12" width="11.421875" style="0" hidden="1" customWidth="1"/>
    <col min="14" max="15" width="11.421875" style="0" hidden="1" customWidth="1"/>
  </cols>
  <sheetData>
    <row r="1" spans="10:16" ht="6.75" customHeight="1" thickBot="1">
      <c r="J1" s="1"/>
      <c r="N1" s="2"/>
      <c r="O1" s="2"/>
      <c r="P1" s="1"/>
    </row>
    <row r="2" spans="2:16" ht="12.75">
      <c r="B2" s="166"/>
      <c r="C2" s="27" t="s">
        <v>0</v>
      </c>
      <c r="D2" s="28" t="s">
        <v>3</v>
      </c>
      <c r="E2" s="28" t="s">
        <v>4</v>
      </c>
      <c r="F2" s="345" t="s">
        <v>10</v>
      </c>
      <c r="G2" s="347"/>
      <c r="H2" s="28" t="s">
        <v>11</v>
      </c>
      <c r="I2" s="29"/>
      <c r="J2" s="345" t="s">
        <v>18</v>
      </c>
      <c r="K2" s="346"/>
      <c r="L2" s="347"/>
      <c r="M2" s="28" t="s">
        <v>5</v>
      </c>
      <c r="N2" s="30" t="s">
        <v>17</v>
      </c>
      <c r="O2" s="30"/>
      <c r="P2" s="31" t="s">
        <v>12</v>
      </c>
    </row>
    <row r="3" spans="1:16" ht="12.75">
      <c r="A3" s="130">
        <v>1</v>
      </c>
      <c r="B3" s="154">
        <f>P3</f>
        <v>6</v>
      </c>
      <c r="C3" s="133" t="str">
        <f>VLOOKUP($A3,Inscription!$B$3:$I$137,2)</f>
        <v>The Tigers</v>
      </c>
      <c r="D3" s="34">
        <v>5</v>
      </c>
      <c r="E3" s="45">
        <v>30</v>
      </c>
      <c r="F3" s="155">
        <f>IF(D3+E3&gt;0,SUM(D3*60+E3))</f>
        <v>330</v>
      </c>
      <c r="G3" s="156">
        <f>IF(F3&gt;"faux","",F3)</f>
        <v>330</v>
      </c>
      <c r="H3" s="156">
        <f aca="true" t="shared" si="0" ref="H3:H9">IF(G3="","",($G$48/G3))</f>
        <v>1.2712121212121212</v>
      </c>
      <c r="I3" s="156">
        <f aca="true" t="shared" si="1" ref="I3:I9">IF(G3="","",H3*$H$49)</f>
        <v>19.18181818181818</v>
      </c>
      <c r="J3" s="135">
        <f>VLOOKUP($A3,Inscription!$B$3:$I$137,7)</f>
      </c>
      <c r="K3" s="156">
        <f>IF(J3="X",Inscription!$I$2,1)</f>
        <v>1</v>
      </c>
      <c r="L3" s="136">
        <f aca="true" t="shared" si="2" ref="L3:L9">IF(G3="","",H3*$H$49*K3)</f>
        <v>19.18181818181818</v>
      </c>
      <c r="M3" s="137">
        <f aca="true" t="shared" si="3" ref="M3:M47">IF(G3="","",IF(L3&gt;30,30,L3))</f>
        <v>19.18181818181818</v>
      </c>
      <c r="N3" s="159">
        <f>IF(G3="","",VLOOKUP(C3,Inscription!$C$3:$P$137,13,FALSE))</f>
        <v>4.2387495598981595E-06</v>
      </c>
      <c r="O3" s="159">
        <f>IF(G3="","",L3+N3)</f>
        <v>19.18182242056774</v>
      </c>
      <c r="P3" s="138">
        <f aca="true" t="shared" si="4" ref="P3:P9">IF(G3="","",RANK(O3,$O$3:$O$47,0))</f>
        <v>6</v>
      </c>
    </row>
    <row r="4" spans="1:22" ht="12.75">
      <c r="A4" s="130">
        <v>2</v>
      </c>
      <c r="B4" s="154">
        <f aca="true" t="shared" si="5" ref="B4:B47">P4</f>
        <v>3</v>
      </c>
      <c r="C4" s="133" t="str">
        <f>VLOOKUP($A4,Inscription!$B$3:$I$137,2)</f>
        <v>Tigres Rouges</v>
      </c>
      <c r="D4" s="34">
        <v>4</v>
      </c>
      <c r="E4" s="45">
        <v>21</v>
      </c>
      <c r="F4" s="155">
        <f aca="true" t="shared" si="6" ref="F4:F47">IF(D4+E4&gt;0,SUM(D4*60+E4))</f>
        <v>261</v>
      </c>
      <c r="G4" s="156">
        <f aca="true" t="shared" si="7" ref="G4:G47">IF(F4&gt;"faux","",F4)</f>
        <v>261</v>
      </c>
      <c r="H4" s="156">
        <f t="shared" si="0"/>
        <v>1.60727969348659</v>
      </c>
      <c r="I4" s="156">
        <f t="shared" si="1"/>
        <v>24.25287356321839</v>
      </c>
      <c r="J4" s="135">
        <f>VLOOKUP($A4,Inscription!$B$3:$I$137,7)</f>
      </c>
      <c r="K4" s="156">
        <f>IF(J4="X",Inscription!$I$2,1)</f>
        <v>1</v>
      </c>
      <c r="L4" s="136">
        <f t="shared" si="2"/>
        <v>24.25287356321839</v>
      </c>
      <c r="M4" s="137">
        <f t="shared" si="3"/>
        <v>24.25287356321839</v>
      </c>
      <c r="N4" s="159">
        <f>IF(G4="","",VLOOKUP(C4,Inscription!$C$3:$P$137,13,FALSE))</f>
        <v>5.547261142042036E-06</v>
      </c>
      <c r="O4" s="159">
        <f aca="true" t="shared" si="8" ref="O4:O47">IF(G4="","",L4+N4)</f>
        <v>24.252879110479533</v>
      </c>
      <c r="P4" s="138">
        <f t="shared" si="4"/>
        <v>3</v>
      </c>
      <c r="U4" s="343" t="s">
        <v>14</v>
      </c>
      <c r="V4" s="343"/>
    </row>
    <row r="5" spans="1:22" ht="12.75">
      <c r="A5" s="130">
        <v>3</v>
      </c>
      <c r="B5" s="154">
        <f t="shared" si="5"/>
        <v>4</v>
      </c>
      <c r="C5" s="133" t="str">
        <f>VLOOKUP($A5,Inscription!$B$3:$I$137,2)</f>
        <v>Bleus</v>
      </c>
      <c r="D5" s="34">
        <v>4</v>
      </c>
      <c r="E5" s="45">
        <v>53</v>
      </c>
      <c r="F5" s="155">
        <f t="shared" si="6"/>
        <v>293</v>
      </c>
      <c r="G5" s="156">
        <f t="shared" si="7"/>
        <v>293</v>
      </c>
      <c r="H5" s="156">
        <f t="shared" si="0"/>
        <v>1.431740614334471</v>
      </c>
      <c r="I5" s="156">
        <f t="shared" si="1"/>
        <v>21.604095563139932</v>
      </c>
      <c r="J5" s="135" t="str">
        <f>VLOOKUP($A5,Inscription!$B$3:$I$137,7)</f>
        <v>X</v>
      </c>
      <c r="K5" s="156">
        <f>IF(J5="X",Inscription!$I$2,1)</f>
        <v>1.05</v>
      </c>
      <c r="L5" s="136">
        <f t="shared" si="2"/>
        <v>22.68430034129693</v>
      </c>
      <c r="M5" s="137">
        <f t="shared" si="3"/>
        <v>22.68430034129693</v>
      </c>
      <c r="N5" s="159">
        <f>IF(G5="","",VLOOKUP(C5,Inscription!$C$3:$P$137,13,FALSE))</f>
        <v>5.4923228102679905E-06</v>
      </c>
      <c r="O5" s="159">
        <f t="shared" si="8"/>
        <v>22.68430583361974</v>
      </c>
      <c r="P5" s="138">
        <f t="shared" si="4"/>
        <v>4</v>
      </c>
      <c r="U5" s="348" t="str">
        <f>VLOOKUP(1,$B$3:$C$47,2,FALSE)</f>
        <v>Aigles d'or</v>
      </c>
      <c r="V5" s="348"/>
    </row>
    <row r="6" spans="1:22" ht="12.75">
      <c r="A6" s="130">
        <v>4</v>
      </c>
      <c r="B6" s="154">
        <f t="shared" si="5"/>
        <v>14</v>
      </c>
      <c r="C6" s="133" t="str">
        <f>VLOOKUP($A6,Inscription!$B$3:$I$137,2)</f>
        <v>Jumaé</v>
      </c>
      <c r="D6" s="34">
        <v>7</v>
      </c>
      <c r="E6" s="45">
        <v>7</v>
      </c>
      <c r="F6" s="155">
        <f t="shared" si="6"/>
        <v>427</v>
      </c>
      <c r="G6" s="156">
        <f t="shared" si="7"/>
        <v>427</v>
      </c>
      <c r="H6" s="156">
        <f t="shared" si="0"/>
        <v>0.9824355971896955</v>
      </c>
      <c r="I6" s="156">
        <f t="shared" si="1"/>
        <v>14.824355971896955</v>
      </c>
      <c r="J6" s="135" t="str">
        <f>VLOOKUP($A6,Inscription!$B$3:$I$137,7)</f>
        <v>X</v>
      </c>
      <c r="K6" s="156">
        <f>IF(J6="X",Inscription!$I$2,1)</f>
        <v>1.05</v>
      </c>
      <c r="L6" s="136">
        <f t="shared" si="2"/>
        <v>15.565573770491802</v>
      </c>
      <c r="M6" s="137">
        <f t="shared" si="3"/>
        <v>15.565573770491802</v>
      </c>
      <c r="N6" s="159">
        <f>IF(G6="","",VLOOKUP(C6,Inscription!$C$3:$P$137,13,FALSE))</f>
        <v>5.6831149670368295E-06</v>
      </c>
      <c r="O6" s="159">
        <f t="shared" si="8"/>
        <v>15.56557945360677</v>
      </c>
      <c r="P6" s="138">
        <f t="shared" si="4"/>
        <v>14</v>
      </c>
      <c r="U6" s="348"/>
      <c r="V6" s="348"/>
    </row>
    <row r="7" spans="1:16" ht="12.75">
      <c r="A7" s="130">
        <v>5</v>
      </c>
      <c r="B7" s="154">
        <f t="shared" si="5"/>
        <v>8</v>
      </c>
      <c r="C7" s="133" t="str">
        <f>VLOOKUP($A7,Inscription!$B$3:$I$137,2)</f>
        <v>Toufou</v>
      </c>
      <c r="D7" s="34">
        <v>5</v>
      </c>
      <c r="E7" s="45">
        <v>37</v>
      </c>
      <c r="F7" s="155">
        <f t="shared" si="6"/>
        <v>337</v>
      </c>
      <c r="G7" s="156">
        <f t="shared" si="7"/>
        <v>337</v>
      </c>
      <c r="H7" s="156">
        <f t="shared" si="0"/>
        <v>1.2448071216617211</v>
      </c>
      <c r="I7" s="156">
        <f t="shared" si="1"/>
        <v>18.783382789317507</v>
      </c>
      <c r="J7" s="135">
        <f>VLOOKUP($A7,Inscription!$B$3:$I$137,7)</f>
      </c>
      <c r="K7" s="156">
        <f>IF(J7="X",Inscription!$I$2,1)</f>
        <v>1</v>
      </c>
      <c r="L7" s="136">
        <f t="shared" si="2"/>
        <v>18.783382789317507</v>
      </c>
      <c r="M7" s="137">
        <f t="shared" si="3"/>
        <v>18.783382789317507</v>
      </c>
      <c r="N7" s="159">
        <f>IF(G7="","",VLOOKUP(C7,Inscription!$C$3:$P$137,13,FALSE))</f>
        <v>4.552869458153605E-06</v>
      </c>
      <c r="O7" s="159">
        <f t="shared" si="8"/>
        <v>18.783387342186966</v>
      </c>
      <c r="P7" s="138">
        <f t="shared" si="4"/>
        <v>8</v>
      </c>
    </row>
    <row r="8" spans="1:16" ht="12.75">
      <c r="A8" s="130">
        <v>6</v>
      </c>
      <c r="B8" s="154">
        <f t="shared" si="5"/>
      </c>
      <c r="C8" s="133" t="str">
        <f>VLOOKUP($A8,Inscription!$B$3:$I$137,2)</f>
        <v>Annulé</v>
      </c>
      <c r="D8" s="34"/>
      <c r="E8" s="45"/>
      <c r="F8" s="155" t="b">
        <f t="shared" si="6"/>
        <v>0</v>
      </c>
      <c r="G8" s="156">
        <f t="shared" si="7"/>
      </c>
      <c r="H8" s="156">
        <f t="shared" si="0"/>
      </c>
      <c r="I8" s="156">
        <f t="shared" si="1"/>
      </c>
      <c r="J8" s="135">
        <f>VLOOKUP($A8,Inscription!$B$3:$I$137,7)</f>
      </c>
      <c r="K8" s="156">
        <f>IF(J8="X",Inscription!$I$2,1)</f>
        <v>1</v>
      </c>
      <c r="L8" s="136">
        <f t="shared" si="2"/>
      </c>
      <c r="M8" s="137">
        <f t="shared" si="3"/>
      </c>
      <c r="N8" s="159">
        <f>IF(G8="","",VLOOKUP(C8,Inscription!$C$3:$P$137,13,FALSE))</f>
      </c>
      <c r="O8" s="159">
        <f t="shared" si="8"/>
      </c>
      <c r="P8" s="138">
        <f t="shared" si="4"/>
      </c>
    </row>
    <row r="9" spans="1:16" ht="12.75">
      <c r="A9" s="130">
        <v>7</v>
      </c>
      <c r="B9" s="154">
        <f t="shared" si="5"/>
        <v>10</v>
      </c>
      <c r="C9" s="133" t="str">
        <f>VLOOKUP($A9,Inscription!$B$3:$I$137,2)</f>
        <v>Saumons</v>
      </c>
      <c r="D9" s="34">
        <v>5</v>
      </c>
      <c r="E9" s="45">
        <v>56</v>
      </c>
      <c r="F9" s="155">
        <f t="shared" si="6"/>
        <v>356</v>
      </c>
      <c r="G9" s="156">
        <f t="shared" si="7"/>
        <v>356</v>
      </c>
      <c r="H9" s="156">
        <f t="shared" si="0"/>
        <v>1.178370786516854</v>
      </c>
      <c r="I9" s="156">
        <f t="shared" si="1"/>
        <v>17.780898876404496</v>
      </c>
      <c r="J9" s="135">
        <f>VLOOKUP($A9,Inscription!$B$3:$I$137,7)</f>
      </c>
      <c r="K9" s="156">
        <f>IF(J9="X",Inscription!$I$2,1)</f>
        <v>1</v>
      </c>
      <c r="L9" s="136">
        <f t="shared" si="2"/>
        <v>17.780898876404496</v>
      </c>
      <c r="M9" s="137">
        <f t="shared" si="3"/>
        <v>17.780898876404496</v>
      </c>
      <c r="N9" s="159">
        <f>IF(G9="","",VLOOKUP(C9,Inscription!$C$3:$P$137,13,FALSE))</f>
        <v>5.571612750569522E-06</v>
      </c>
      <c r="O9" s="159">
        <f t="shared" si="8"/>
        <v>17.780904448017246</v>
      </c>
      <c r="P9" s="138">
        <f t="shared" si="4"/>
        <v>10</v>
      </c>
    </row>
    <row r="10" spans="1:16" ht="12.75">
      <c r="A10" s="130">
        <v>8</v>
      </c>
      <c r="B10" s="154">
        <f aca="true" t="shared" si="9" ref="B10:B22">P10</f>
        <v>13</v>
      </c>
      <c r="C10" s="133" t="str">
        <f>VLOOKUP($A10,Inscription!$B$3:$I$137,2)</f>
        <v>Jaguars</v>
      </c>
      <c r="D10" s="34">
        <v>6</v>
      </c>
      <c r="E10" s="45">
        <v>38</v>
      </c>
      <c r="F10" s="155">
        <f aca="true" t="shared" si="10" ref="F10:F22">IF(D10+E10&gt;0,SUM(D10*60+E10))</f>
        <v>398</v>
      </c>
      <c r="G10" s="156">
        <f t="shared" si="7"/>
        <v>398</v>
      </c>
      <c r="H10" s="156">
        <f aca="true" t="shared" si="11" ref="H10:H22">IF(G10="","",($G$48/G10))</f>
        <v>1.0540201005025125</v>
      </c>
      <c r="I10" s="156">
        <f aca="true" t="shared" si="12" ref="I10:I22">IF(G10="","",H10*$H$49)</f>
        <v>15.904522613065325</v>
      </c>
      <c r="J10" s="135" t="str">
        <f>VLOOKUP($A10,Inscription!$B$3:$I$137,7)</f>
        <v>X</v>
      </c>
      <c r="K10" s="156">
        <f>IF(J10="X",Inscription!$I$2,1)</f>
        <v>1.05</v>
      </c>
      <c r="L10" s="136">
        <f aca="true" t="shared" si="13" ref="L10:L22">IF(G10="","",H10*$H$49*K10)</f>
        <v>16.69974874371859</v>
      </c>
      <c r="M10" s="137">
        <f aca="true" t="shared" si="14" ref="M10:M22">IF(G10="","",IF(L10&gt;30,30,L10))</f>
        <v>16.69974874371859</v>
      </c>
      <c r="N10" s="159">
        <f>IF(G10="","",VLOOKUP(C10,Inscription!$C$3:$P$137,13,FALSE))</f>
        <v>6.321345668651499E-06</v>
      </c>
      <c r="O10" s="159">
        <f aca="true" t="shared" si="15" ref="O10:O22">IF(G10="","",L10+N10)</f>
        <v>16.69975506506426</v>
      </c>
      <c r="P10" s="138">
        <f aca="true" t="shared" si="16" ref="P10:P22">IF(G10="","",RANK(O10,$O$3:$O$47,0))</f>
        <v>13</v>
      </c>
    </row>
    <row r="11" spans="1:16" ht="12.75">
      <c r="A11" s="130">
        <v>9</v>
      </c>
      <c r="B11" s="154">
        <f t="shared" si="9"/>
        <v>5</v>
      </c>
      <c r="C11" s="133" t="str">
        <f>VLOOKUP($A11,Inscription!$B$3:$I$137,2)</f>
        <v>Footballeurs</v>
      </c>
      <c r="D11" s="34">
        <v>5</v>
      </c>
      <c r="E11" s="45">
        <v>4</v>
      </c>
      <c r="F11" s="155">
        <f t="shared" si="10"/>
        <v>304</v>
      </c>
      <c r="G11" s="156">
        <f t="shared" si="7"/>
        <v>304</v>
      </c>
      <c r="H11" s="156">
        <f t="shared" si="11"/>
        <v>1.3799342105263157</v>
      </c>
      <c r="I11" s="156">
        <f t="shared" si="12"/>
        <v>20.82236842105263</v>
      </c>
      <c r="J11" s="135" t="str">
        <f>VLOOKUP($A11,Inscription!$B$3:$I$137,7)</f>
        <v>X</v>
      </c>
      <c r="K11" s="156">
        <f>IF(J11="X",Inscription!$I$2,1)</f>
        <v>1.05</v>
      </c>
      <c r="L11" s="136">
        <f t="shared" si="13"/>
        <v>21.863486842105264</v>
      </c>
      <c r="M11" s="137">
        <f t="shared" si="14"/>
        <v>21.863486842105264</v>
      </c>
      <c r="N11" s="159">
        <f>IF(G11="","",VLOOKUP(C11,Inscription!$C$3:$P$137,13,FALSE))</f>
        <v>5.054750035628687E-06</v>
      </c>
      <c r="O11" s="159">
        <f t="shared" si="15"/>
        <v>21.8634918968553</v>
      </c>
      <c r="P11" s="138">
        <f t="shared" si="16"/>
        <v>5</v>
      </c>
    </row>
    <row r="12" spans="1:16" ht="12.75">
      <c r="A12" s="130">
        <v>10</v>
      </c>
      <c r="B12" s="154">
        <f t="shared" si="9"/>
        <v>18</v>
      </c>
      <c r="C12" s="133" t="str">
        <f>VLOOKUP($A12,Inscription!$B$3:$I$137,2)</f>
        <v>Big Boss</v>
      </c>
      <c r="D12" s="34">
        <v>10</v>
      </c>
      <c r="E12" s="45">
        <v>28</v>
      </c>
      <c r="F12" s="155">
        <f t="shared" si="10"/>
        <v>628</v>
      </c>
      <c r="G12" s="156">
        <f t="shared" si="7"/>
        <v>628</v>
      </c>
      <c r="H12" s="156">
        <f t="shared" si="11"/>
        <v>0.6679936305732485</v>
      </c>
      <c r="I12" s="156">
        <f t="shared" si="12"/>
        <v>10.079617834394904</v>
      </c>
      <c r="J12" s="135">
        <f>VLOOKUP($A12,Inscription!$B$3:$I$137,7)</f>
      </c>
      <c r="K12" s="156">
        <f>IF(J12="X",Inscription!$I$2,1)</f>
        <v>1</v>
      </c>
      <c r="L12" s="136">
        <f t="shared" si="13"/>
        <v>10.079617834394904</v>
      </c>
      <c r="M12" s="137">
        <f t="shared" si="14"/>
        <v>10.079617834394904</v>
      </c>
      <c r="N12" s="159">
        <f>IF(G12="","",VLOOKUP(C12,Inscription!$C$3:$P$137,13,FALSE))</f>
        <v>6.307455982368951E-06</v>
      </c>
      <c r="O12" s="159">
        <f t="shared" si="15"/>
        <v>10.079624141850886</v>
      </c>
      <c r="P12" s="138">
        <f t="shared" si="16"/>
        <v>18</v>
      </c>
    </row>
    <row r="13" spans="1:16" ht="12.75">
      <c r="A13" s="130">
        <v>11</v>
      </c>
      <c r="B13" s="154">
        <f t="shared" si="9"/>
        <v>17</v>
      </c>
      <c r="C13" s="133" t="str">
        <f>VLOOKUP($A13,Inscription!$B$3:$I$137,2)</f>
        <v>Trio</v>
      </c>
      <c r="D13" s="34">
        <v>10</v>
      </c>
      <c r="E13" s="45">
        <v>16</v>
      </c>
      <c r="F13" s="155">
        <f t="shared" si="10"/>
        <v>616</v>
      </c>
      <c r="G13" s="156">
        <f t="shared" si="7"/>
        <v>616</v>
      </c>
      <c r="H13" s="156">
        <f t="shared" si="11"/>
        <v>0.6810064935064936</v>
      </c>
      <c r="I13" s="156">
        <f t="shared" si="12"/>
        <v>10.275974025974026</v>
      </c>
      <c r="J13" s="135" t="str">
        <f>VLOOKUP($A13,Inscription!$B$3:$I$137,7)</f>
        <v>X</v>
      </c>
      <c r="K13" s="156">
        <f>IF(J13="X",Inscription!$I$2,1)</f>
        <v>1.05</v>
      </c>
      <c r="L13" s="136">
        <f t="shared" si="13"/>
        <v>10.789772727272728</v>
      </c>
      <c r="M13" s="137">
        <f t="shared" si="14"/>
        <v>10.789772727272728</v>
      </c>
      <c r="N13" s="159">
        <f>IF(G13="","",VLOOKUP(C13,Inscription!$C$3:$P$137,13,FALSE))</f>
        <v>5.017675473089945E-06</v>
      </c>
      <c r="O13" s="159">
        <f t="shared" si="15"/>
        <v>10.789777744948202</v>
      </c>
      <c r="P13" s="138">
        <f t="shared" si="16"/>
        <v>17</v>
      </c>
    </row>
    <row r="14" spans="1:16" ht="12.75">
      <c r="A14" s="130">
        <v>12</v>
      </c>
      <c r="B14" s="154">
        <f t="shared" si="9"/>
        <v>15</v>
      </c>
      <c r="C14" s="133" t="str">
        <f>VLOOKUP($A14,Inscription!$B$3:$I$137,2)</f>
        <v>Cavalières</v>
      </c>
      <c r="D14" s="34">
        <v>7</v>
      </c>
      <c r="E14" s="45">
        <v>37</v>
      </c>
      <c r="F14" s="155">
        <f t="shared" si="10"/>
        <v>457</v>
      </c>
      <c r="G14" s="156">
        <f t="shared" si="7"/>
        <v>457</v>
      </c>
      <c r="H14" s="156">
        <f t="shared" si="11"/>
        <v>0.9179431072210066</v>
      </c>
      <c r="I14" s="156">
        <f t="shared" si="12"/>
        <v>13.851203501094092</v>
      </c>
      <c r="J14" s="135" t="str">
        <f>VLOOKUP($A14,Inscription!$B$3:$I$137,7)</f>
        <v>X</v>
      </c>
      <c r="K14" s="156">
        <f>IF(J14="X",Inscription!$I$2,1)</f>
        <v>1.05</v>
      </c>
      <c r="L14" s="136">
        <f t="shared" si="13"/>
        <v>14.543763676148798</v>
      </c>
      <c r="M14" s="137">
        <f t="shared" si="14"/>
        <v>14.543763676148798</v>
      </c>
      <c r="N14" s="159">
        <f>IF(G14="","",VLOOKUP(C14,Inscription!$C$3:$P$137,13,FALSE))</f>
        <v>5.086858496880742E-06</v>
      </c>
      <c r="O14" s="159">
        <f t="shared" si="15"/>
        <v>14.543768763007295</v>
      </c>
      <c r="P14" s="138">
        <f t="shared" si="16"/>
        <v>15</v>
      </c>
    </row>
    <row r="15" spans="1:16" ht="12.75">
      <c r="A15" s="130">
        <v>13</v>
      </c>
      <c r="B15" s="154">
        <f t="shared" si="9"/>
        <v>12</v>
      </c>
      <c r="C15" s="133" t="str">
        <f>VLOOKUP($A15,Inscription!$B$3:$I$137,2)</f>
        <v>Aigles Bleus</v>
      </c>
      <c r="D15" s="34">
        <v>6</v>
      </c>
      <c r="E15" s="45">
        <v>15</v>
      </c>
      <c r="F15" s="155">
        <f t="shared" si="10"/>
        <v>375</v>
      </c>
      <c r="G15" s="156">
        <f t="shared" si="7"/>
        <v>375</v>
      </c>
      <c r="H15" s="156">
        <f t="shared" si="11"/>
        <v>1.1186666666666667</v>
      </c>
      <c r="I15" s="156">
        <f t="shared" si="12"/>
        <v>16.88</v>
      </c>
      <c r="J15" s="135">
        <f>VLOOKUP($A15,Inscription!$B$3:$I$137,7)</f>
      </c>
      <c r="K15" s="156">
        <f>IF(J15="X",Inscription!$I$2,1)</f>
        <v>1</v>
      </c>
      <c r="L15" s="136">
        <f t="shared" si="13"/>
        <v>16.88</v>
      </c>
      <c r="M15" s="137">
        <f t="shared" si="14"/>
        <v>16.88</v>
      </c>
      <c r="N15" s="159">
        <f>IF(G15="","",VLOOKUP(C15,Inscription!$C$3:$P$137,13,FALSE))</f>
        <v>4.845891759131298E-06</v>
      </c>
      <c r="O15" s="159">
        <f t="shared" si="15"/>
        <v>16.880004845891758</v>
      </c>
      <c r="P15" s="138">
        <f t="shared" si="16"/>
        <v>12</v>
      </c>
    </row>
    <row r="16" spans="1:16" ht="12.75">
      <c r="A16" s="130">
        <v>14</v>
      </c>
      <c r="B16" s="154">
        <f t="shared" si="9"/>
        <v>11</v>
      </c>
      <c r="C16" s="133" t="str">
        <f>VLOOKUP($A16,Inscription!$B$3:$I$137,2)</f>
        <v>Flammes Noires</v>
      </c>
      <c r="D16" s="34">
        <v>6</v>
      </c>
      <c r="E16" s="45">
        <v>18</v>
      </c>
      <c r="F16" s="155">
        <f t="shared" si="10"/>
        <v>378</v>
      </c>
      <c r="G16" s="156">
        <f t="shared" si="7"/>
        <v>378</v>
      </c>
      <c r="H16" s="156">
        <f t="shared" si="11"/>
        <v>1.1097883597883598</v>
      </c>
      <c r="I16" s="156">
        <f t="shared" si="12"/>
        <v>16.746031746031743</v>
      </c>
      <c r="J16" s="135" t="str">
        <f>VLOOKUP($A16,Inscription!$B$3:$I$137,7)</f>
        <v>X</v>
      </c>
      <c r="K16" s="156">
        <f>IF(J16="X",Inscription!$I$2,1)</f>
        <v>1.05</v>
      </c>
      <c r="L16" s="136">
        <f t="shared" si="13"/>
        <v>17.583333333333332</v>
      </c>
      <c r="M16" s="137">
        <f t="shared" si="14"/>
        <v>17.583333333333332</v>
      </c>
      <c r="N16" s="159">
        <f>IF(G16="","",VLOOKUP(C16,Inscription!$C$3:$P$137,13,FALSE))</f>
        <v>5.194119081985949E-06</v>
      </c>
      <c r="O16" s="159">
        <f t="shared" si="15"/>
        <v>17.583338527452415</v>
      </c>
      <c r="P16" s="138">
        <f t="shared" si="16"/>
        <v>11</v>
      </c>
    </row>
    <row r="17" spans="1:16" ht="12.75">
      <c r="A17" s="130">
        <v>15</v>
      </c>
      <c r="B17" s="154">
        <f t="shared" si="9"/>
        <v>9</v>
      </c>
      <c r="C17" s="133" t="str">
        <f>VLOOKUP($A17,Inscription!$B$3:$I$137,2)</f>
        <v>Ch'tis</v>
      </c>
      <c r="D17" s="34">
        <v>5</v>
      </c>
      <c r="E17" s="45">
        <v>52</v>
      </c>
      <c r="F17" s="155">
        <f t="shared" si="10"/>
        <v>352</v>
      </c>
      <c r="G17" s="156">
        <f t="shared" si="7"/>
        <v>352</v>
      </c>
      <c r="H17" s="156">
        <f t="shared" si="11"/>
        <v>1.1917613636363635</v>
      </c>
      <c r="I17" s="156">
        <f t="shared" si="12"/>
        <v>17.982954545454543</v>
      </c>
      <c r="J17" s="135">
        <f>VLOOKUP($A17,Inscription!$B$3:$I$137,7)</f>
      </c>
      <c r="K17" s="156">
        <f>IF(J17="X",Inscription!$I$2,1)</f>
        <v>1</v>
      </c>
      <c r="L17" s="136">
        <f t="shared" si="13"/>
        <v>17.982954545454543</v>
      </c>
      <c r="M17" s="137">
        <f t="shared" si="14"/>
        <v>17.982954545454543</v>
      </c>
      <c r="N17" s="159">
        <f>IF(G17="","",VLOOKUP(C17,Inscription!$C$3:$P$137,13,FALSE))</f>
        <v>4.246413812267315E-06</v>
      </c>
      <c r="O17" s="159">
        <f t="shared" si="15"/>
        <v>17.982958791868356</v>
      </c>
      <c r="P17" s="138">
        <f t="shared" si="16"/>
        <v>9</v>
      </c>
    </row>
    <row r="18" spans="1:16" ht="12.75">
      <c r="A18" s="130">
        <v>16</v>
      </c>
      <c r="B18" s="154">
        <f t="shared" si="9"/>
        <v>16</v>
      </c>
      <c r="C18" s="133" t="str">
        <f>VLOOKUP($A18,Inscription!$B$3:$I$137,2)</f>
        <v>Best Ones</v>
      </c>
      <c r="D18" s="34">
        <v>8</v>
      </c>
      <c r="E18" s="45">
        <v>21</v>
      </c>
      <c r="F18" s="155">
        <f t="shared" si="10"/>
        <v>501</v>
      </c>
      <c r="G18" s="156">
        <f t="shared" si="7"/>
        <v>501</v>
      </c>
      <c r="H18" s="156">
        <f t="shared" si="11"/>
        <v>0.8373253493013972</v>
      </c>
      <c r="I18" s="156">
        <f t="shared" si="12"/>
        <v>12.634730538922156</v>
      </c>
      <c r="J18" s="135" t="str">
        <f>VLOOKUP($A18,Inscription!$B$3:$I$137,7)</f>
        <v>X</v>
      </c>
      <c r="K18" s="156">
        <f>IF(J18="X",Inscription!$I$2,1)</f>
        <v>1.05</v>
      </c>
      <c r="L18" s="136">
        <f t="shared" si="13"/>
        <v>13.266467065868264</v>
      </c>
      <c r="M18" s="137">
        <f t="shared" si="14"/>
        <v>13.266467065868264</v>
      </c>
      <c r="N18" s="159">
        <f>IF(G18="","",VLOOKUP(C18,Inscription!$C$3:$P$137,13,FALSE))</f>
        <v>5.7255723354972515E-06</v>
      </c>
      <c r="O18" s="159">
        <f t="shared" si="15"/>
        <v>13.2664727914406</v>
      </c>
      <c r="P18" s="138">
        <f t="shared" si="16"/>
        <v>16</v>
      </c>
    </row>
    <row r="19" spans="1:16" ht="12.75">
      <c r="A19" s="130">
        <v>17</v>
      </c>
      <c r="B19" s="154">
        <f t="shared" si="9"/>
        <v>7</v>
      </c>
      <c r="C19" s="133" t="str">
        <f>VLOOKUP($A19,Inscription!$B$3:$I$137,2)</f>
        <v>Tontons flingueurs</v>
      </c>
      <c r="D19" s="34">
        <v>5</v>
      </c>
      <c r="E19" s="45">
        <v>34</v>
      </c>
      <c r="F19" s="155">
        <f t="shared" si="10"/>
        <v>334</v>
      </c>
      <c r="G19" s="156">
        <f t="shared" si="7"/>
        <v>334</v>
      </c>
      <c r="H19" s="156">
        <f t="shared" si="11"/>
        <v>1.2559880239520957</v>
      </c>
      <c r="I19" s="156">
        <f t="shared" si="12"/>
        <v>18.95209580838323</v>
      </c>
      <c r="J19" s="135">
        <f>VLOOKUP($A19,Inscription!$B$3:$I$137,7)</f>
      </c>
      <c r="K19" s="156">
        <f>IF(J19="X",Inscription!$I$2,1)</f>
        <v>1</v>
      </c>
      <c r="L19" s="136">
        <f t="shared" si="13"/>
        <v>18.95209580838323</v>
      </c>
      <c r="M19" s="137">
        <f t="shared" si="14"/>
        <v>18.95209580838323</v>
      </c>
      <c r="N19" s="159">
        <f>IF(G19="","",VLOOKUP(C19,Inscription!$C$3:$P$137,13,FALSE))</f>
        <v>6.120430495768291E-06</v>
      </c>
      <c r="O19" s="159">
        <f t="shared" si="15"/>
        <v>18.952101928813725</v>
      </c>
      <c r="P19" s="138">
        <f t="shared" si="16"/>
        <v>7</v>
      </c>
    </row>
    <row r="20" spans="1:16" ht="12.75">
      <c r="A20" s="130">
        <v>18</v>
      </c>
      <c r="B20" s="154">
        <f t="shared" si="9"/>
        <v>2</v>
      </c>
      <c r="C20" s="133" t="str">
        <f>VLOOKUP($A20,Inscription!$B$3:$I$137,2)</f>
        <v>Twisters</v>
      </c>
      <c r="D20" s="34">
        <v>3</v>
      </c>
      <c r="E20" s="45">
        <v>51</v>
      </c>
      <c r="F20" s="155">
        <f t="shared" si="10"/>
        <v>231</v>
      </c>
      <c r="G20" s="156">
        <f t="shared" si="7"/>
        <v>231</v>
      </c>
      <c r="H20" s="156">
        <f t="shared" si="11"/>
        <v>1.816017316017316</v>
      </c>
      <c r="I20" s="156">
        <f t="shared" si="12"/>
        <v>27.4025974025974</v>
      </c>
      <c r="J20" s="135" t="str">
        <f>VLOOKUP($A20,Inscription!$B$3:$I$137,7)</f>
        <v>X</v>
      </c>
      <c r="K20" s="156">
        <f>IF(J20="X",Inscription!$I$2,1)</f>
        <v>1.05</v>
      </c>
      <c r="L20" s="136">
        <f t="shared" si="13"/>
        <v>28.772727272727273</v>
      </c>
      <c r="M20" s="137">
        <f t="shared" si="14"/>
        <v>28.772727272727273</v>
      </c>
      <c r="N20" s="159">
        <f>IF(G20="","",VLOOKUP(C20,Inscription!$C$3:$P$137,13,FALSE))</f>
        <v>4.758288117778342E-06</v>
      </c>
      <c r="O20" s="159">
        <f t="shared" si="15"/>
        <v>28.77273203101539</v>
      </c>
      <c r="P20" s="138">
        <f t="shared" si="16"/>
        <v>2</v>
      </c>
    </row>
    <row r="21" spans="1:16" ht="12.75">
      <c r="A21" s="130">
        <v>19</v>
      </c>
      <c r="B21" s="154">
        <f t="shared" si="9"/>
        <v>1</v>
      </c>
      <c r="C21" s="133" t="str">
        <f>VLOOKUP($A21,Inscription!$B$3:$I$137,2)</f>
        <v>Aigles d'or</v>
      </c>
      <c r="D21" s="34">
        <v>3</v>
      </c>
      <c r="E21" s="45">
        <v>31</v>
      </c>
      <c r="F21" s="155">
        <f t="shared" si="10"/>
        <v>211</v>
      </c>
      <c r="G21" s="156">
        <f t="shared" si="7"/>
        <v>211</v>
      </c>
      <c r="H21" s="156">
        <f t="shared" si="11"/>
        <v>1.9881516587677726</v>
      </c>
      <c r="I21" s="156">
        <f t="shared" si="12"/>
        <v>30</v>
      </c>
      <c r="J21" s="135">
        <f>VLOOKUP($A21,Inscription!$B$3:$I$137,7)</f>
      </c>
      <c r="K21" s="156">
        <f>IF(J21="X",Inscription!$I$2,1)</f>
        <v>1</v>
      </c>
      <c r="L21" s="136">
        <f t="shared" si="13"/>
        <v>30</v>
      </c>
      <c r="M21" s="137">
        <f t="shared" si="14"/>
        <v>30</v>
      </c>
      <c r="N21" s="159">
        <f>IF(G21="","",VLOOKUP(C21,Inscription!$C$3:$P$137,13,FALSE))</f>
        <v>5.08206312405054E-06</v>
      </c>
      <c r="O21" s="159">
        <f t="shared" si="15"/>
        <v>30.000005082063122</v>
      </c>
      <c r="P21" s="138">
        <f t="shared" si="16"/>
        <v>1</v>
      </c>
    </row>
    <row r="22" spans="1:16" ht="12.75">
      <c r="A22" s="130">
        <v>20</v>
      </c>
      <c r="B22" s="154">
        <f t="shared" si="9"/>
      </c>
      <c r="C22" s="133">
        <f>VLOOKUP($A22,Inscription!$B$3:$I$137,2)</f>
        <v>0</v>
      </c>
      <c r="D22" s="34"/>
      <c r="E22" s="45"/>
      <c r="F22" s="155" t="b">
        <f t="shared" si="10"/>
        <v>0</v>
      </c>
      <c r="G22" s="156">
        <f t="shared" si="7"/>
      </c>
      <c r="H22" s="156">
        <f t="shared" si="11"/>
      </c>
      <c r="I22" s="156">
        <f t="shared" si="12"/>
      </c>
      <c r="J22" s="135">
        <f>VLOOKUP($A22,Inscription!$B$3:$I$137,7)</f>
      </c>
      <c r="K22" s="156">
        <f>IF(J22="X",Inscription!$I$2,1)</f>
        <v>1</v>
      </c>
      <c r="L22" s="136">
        <f t="shared" si="13"/>
      </c>
      <c r="M22" s="137">
        <f t="shared" si="14"/>
      </c>
      <c r="N22" s="159">
        <f>IF(G22="","",VLOOKUP(C22,Inscription!$C$3:$P$137,13,FALSE))</f>
      </c>
      <c r="O22" s="159">
        <f t="shared" si="15"/>
      </c>
      <c r="P22" s="138">
        <f t="shared" si="16"/>
      </c>
    </row>
    <row r="23" spans="1:16" ht="12.75">
      <c r="A23" s="130">
        <v>21</v>
      </c>
      <c r="B23" s="154">
        <f t="shared" si="5"/>
      </c>
      <c r="C23" s="133">
        <f>VLOOKUP($A23,Inscription!$B$3:$I$137,2)</f>
        <v>0</v>
      </c>
      <c r="D23" s="34"/>
      <c r="E23" s="45"/>
      <c r="F23" s="155" t="b">
        <f t="shared" si="6"/>
        <v>0</v>
      </c>
      <c r="G23" s="156">
        <f t="shared" si="7"/>
      </c>
      <c r="H23" s="156">
        <f aca="true" t="shared" si="17" ref="H23:H47">IF(G23="","",($G$48/G23))</f>
      </c>
      <c r="I23" s="156">
        <f aca="true" t="shared" si="18" ref="I23:I47">IF(G23="","",H23*$H$49)</f>
      </c>
      <c r="J23" s="135">
        <f>VLOOKUP($A23,Inscription!$B$3:$I$137,7)</f>
      </c>
      <c r="K23" s="156">
        <f>IF(J23="X",Inscription!$I$2,1)</f>
        <v>1</v>
      </c>
      <c r="L23" s="136">
        <f aca="true" t="shared" si="19" ref="L23:L47">IF(G23="","",H23*$H$49*K23)</f>
      </c>
      <c r="M23" s="137">
        <f t="shared" si="3"/>
      </c>
      <c r="N23" s="159">
        <f>IF(G23="","",VLOOKUP(C23,Inscription!$C$3:$P$137,13,FALSE))</f>
      </c>
      <c r="O23" s="159">
        <f t="shared" si="8"/>
      </c>
      <c r="P23" s="138">
        <f aca="true" t="shared" si="20" ref="P23:P47">IF(G23="","",RANK(O23,$O$3:$O$47,0))</f>
      </c>
    </row>
    <row r="24" spans="1:16" ht="12.75">
      <c r="A24" s="130">
        <v>22</v>
      </c>
      <c r="B24" s="154">
        <f t="shared" si="5"/>
      </c>
      <c r="C24" s="133">
        <f>VLOOKUP($A24,Inscription!$B$3:$I$137,2)</f>
        <v>0</v>
      </c>
      <c r="D24" s="34"/>
      <c r="E24" s="45"/>
      <c r="F24" s="155" t="b">
        <f t="shared" si="6"/>
        <v>0</v>
      </c>
      <c r="G24" s="156">
        <f t="shared" si="7"/>
      </c>
      <c r="H24" s="156">
        <f t="shared" si="17"/>
      </c>
      <c r="I24" s="156">
        <f t="shared" si="18"/>
      </c>
      <c r="J24" s="135">
        <f>VLOOKUP($A24,Inscription!$B$3:$I$137,7)</f>
      </c>
      <c r="K24" s="156">
        <f>IF(J24="X",Inscription!$I$2,1)</f>
        <v>1</v>
      </c>
      <c r="L24" s="136">
        <f t="shared" si="19"/>
      </c>
      <c r="M24" s="137">
        <f t="shared" si="3"/>
      </c>
      <c r="N24" s="159">
        <f>IF(G24="","",VLOOKUP(C24,Inscription!$C$3:$P$137,13,FALSE))</f>
      </c>
      <c r="O24" s="159">
        <f t="shared" si="8"/>
      </c>
      <c r="P24" s="138">
        <f t="shared" si="20"/>
      </c>
    </row>
    <row r="25" spans="1:16" ht="12.75">
      <c r="A25" s="130">
        <v>23</v>
      </c>
      <c r="B25" s="154">
        <f t="shared" si="5"/>
      </c>
      <c r="C25" s="133">
        <f>VLOOKUP($A25,Inscription!$B$3:$I$137,2)</f>
        <v>0</v>
      </c>
      <c r="D25" s="34"/>
      <c r="E25" s="45"/>
      <c r="F25" s="155" t="b">
        <f t="shared" si="6"/>
        <v>0</v>
      </c>
      <c r="G25" s="156">
        <f t="shared" si="7"/>
      </c>
      <c r="H25" s="156">
        <f t="shared" si="17"/>
      </c>
      <c r="I25" s="156">
        <f t="shared" si="18"/>
      </c>
      <c r="J25" s="135">
        <f>VLOOKUP($A25,Inscription!$B$3:$I$137,7)</f>
      </c>
      <c r="K25" s="156">
        <f>IF(J25="X",Inscription!$I$2,1)</f>
        <v>1</v>
      </c>
      <c r="L25" s="136">
        <f t="shared" si="19"/>
      </c>
      <c r="M25" s="137">
        <f t="shared" si="3"/>
      </c>
      <c r="N25" s="159">
        <f>IF(G25="","",VLOOKUP(C25,Inscription!$C$3:$P$137,13,FALSE))</f>
      </c>
      <c r="O25" s="159">
        <f t="shared" si="8"/>
      </c>
      <c r="P25" s="138">
        <f t="shared" si="20"/>
      </c>
    </row>
    <row r="26" spans="1:16" ht="12.75">
      <c r="A26" s="130">
        <v>24</v>
      </c>
      <c r="B26" s="154">
        <f t="shared" si="5"/>
      </c>
      <c r="C26" s="133">
        <f>VLOOKUP($A26,Inscription!$B$3:$I$137,2)</f>
        <v>0</v>
      </c>
      <c r="D26" s="34"/>
      <c r="E26" s="45"/>
      <c r="F26" s="155" t="b">
        <f t="shared" si="6"/>
        <v>0</v>
      </c>
      <c r="G26" s="156">
        <f t="shared" si="7"/>
      </c>
      <c r="H26" s="156">
        <f t="shared" si="17"/>
      </c>
      <c r="I26" s="156">
        <f t="shared" si="18"/>
      </c>
      <c r="J26" s="135">
        <f>VLOOKUP($A26,Inscription!$B$3:$I$137,7)</f>
      </c>
      <c r="K26" s="156">
        <f>IF(J26="X",Inscription!$I$2,1)</f>
        <v>1</v>
      </c>
      <c r="L26" s="136">
        <f t="shared" si="19"/>
      </c>
      <c r="M26" s="137">
        <f t="shared" si="3"/>
      </c>
      <c r="N26" s="159">
        <f>IF(G26="","",VLOOKUP(C26,Inscription!$C$3:$P$137,13,FALSE))</f>
      </c>
      <c r="O26" s="159">
        <f t="shared" si="8"/>
      </c>
      <c r="P26" s="138">
        <f t="shared" si="20"/>
      </c>
    </row>
    <row r="27" spans="1:16" ht="12.75">
      <c r="A27" s="130">
        <v>25</v>
      </c>
      <c r="B27" s="154">
        <f t="shared" si="5"/>
      </c>
      <c r="C27" s="133">
        <f>VLOOKUP($A27,Inscription!$B$3:$I$137,2)</f>
        <v>0</v>
      </c>
      <c r="D27" s="34"/>
      <c r="E27" s="45"/>
      <c r="F27" s="155" t="b">
        <f t="shared" si="6"/>
        <v>0</v>
      </c>
      <c r="G27" s="156">
        <f t="shared" si="7"/>
      </c>
      <c r="H27" s="156">
        <f t="shared" si="17"/>
      </c>
      <c r="I27" s="156">
        <f t="shared" si="18"/>
      </c>
      <c r="J27" s="135">
        <f>VLOOKUP($A27,Inscription!$B$3:$I$137,7)</f>
      </c>
      <c r="K27" s="156">
        <f>IF(J27="X",Inscription!$I$2,1)</f>
        <v>1</v>
      </c>
      <c r="L27" s="136">
        <f t="shared" si="19"/>
      </c>
      <c r="M27" s="137">
        <f t="shared" si="3"/>
      </c>
      <c r="N27" s="159">
        <f>IF(G27="","",VLOOKUP(C27,Inscription!$C$3:$P$137,13,FALSE))</f>
      </c>
      <c r="O27" s="159">
        <f t="shared" si="8"/>
      </c>
      <c r="P27" s="138">
        <f t="shared" si="20"/>
      </c>
    </row>
    <row r="28" spans="1:16" ht="12.75">
      <c r="A28" s="130">
        <v>26</v>
      </c>
      <c r="B28" s="154">
        <f t="shared" si="5"/>
      </c>
      <c r="C28" s="133">
        <f>VLOOKUP($A28,Inscription!$B$3:$I$137,2)</f>
        <v>0</v>
      </c>
      <c r="D28" s="34"/>
      <c r="E28" s="45"/>
      <c r="F28" s="155" t="b">
        <f t="shared" si="6"/>
        <v>0</v>
      </c>
      <c r="G28" s="156">
        <f t="shared" si="7"/>
      </c>
      <c r="H28" s="156">
        <f t="shared" si="17"/>
      </c>
      <c r="I28" s="156">
        <f t="shared" si="18"/>
      </c>
      <c r="J28" s="135">
        <f>VLOOKUP($A28,Inscription!$B$3:$I$137,7)</f>
      </c>
      <c r="K28" s="156">
        <f>IF(J28="X",Inscription!$I$2,1)</f>
        <v>1</v>
      </c>
      <c r="L28" s="136">
        <f t="shared" si="19"/>
      </c>
      <c r="M28" s="137">
        <f t="shared" si="3"/>
      </c>
      <c r="N28" s="159">
        <f>IF(G28="","",VLOOKUP(C28,Inscription!$C$3:$P$137,13,FALSE))</f>
      </c>
      <c r="O28" s="159">
        <f t="shared" si="8"/>
      </c>
      <c r="P28" s="138">
        <f t="shared" si="20"/>
      </c>
    </row>
    <row r="29" spans="1:16" ht="12.75">
      <c r="A29" s="130">
        <v>27</v>
      </c>
      <c r="B29" s="154">
        <f t="shared" si="5"/>
      </c>
      <c r="C29" s="133">
        <f>VLOOKUP($A29,Inscription!$B$3:$I$137,2)</f>
        <v>0</v>
      </c>
      <c r="D29" s="34"/>
      <c r="E29" s="45"/>
      <c r="F29" s="155" t="b">
        <f t="shared" si="6"/>
        <v>0</v>
      </c>
      <c r="G29" s="156">
        <f t="shared" si="7"/>
      </c>
      <c r="H29" s="156">
        <f t="shared" si="17"/>
      </c>
      <c r="I29" s="156">
        <f t="shared" si="18"/>
      </c>
      <c r="J29" s="135">
        <f>VLOOKUP($A29,Inscription!$B$3:$I$137,7)</f>
      </c>
      <c r="K29" s="156">
        <f>IF(J29="X",Inscription!$I$2,1)</f>
        <v>1</v>
      </c>
      <c r="L29" s="136">
        <f t="shared" si="19"/>
      </c>
      <c r="M29" s="137">
        <f t="shared" si="3"/>
      </c>
      <c r="N29" s="159">
        <f>IF(G29="","",VLOOKUP(C29,Inscription!$C$3:$P$137,13,FALSE))</f>
      </c>
      <c r="O29" s="159">
        <f t="shared" si="8"/>
      </c>
      <c r="P29" s="138">
        <f t="shared" si="20"/>
      </c>
    </row>
    <row r="30" spans="1:16" ht="12.75">
      <c r="A30" s="130">
        <v>28</v>
      </c>
      <c r="B30" s="154">
        <f t="shared" si="5"/>
      </c>
      <c r="C30" s="133">
        <f>VLOOKUP($A30,Inscription!$B$3:$I$137,2)</f>
        <v>0</v>
      </c>
      <c r="D30" s="34"/>
      <c r="E30" s="45"/>
      <c r="F30" s="155" t="b">
        <f t="shared" si="6"/>
        <v>0</v>
      </c>
      <c r="G30" s="156">
        <f t="shared" si="7"/>
      </c>
      <c r="H30" s="156">
        <f t="shared" si="17"/>
      </c>
      <c r="I30" s="156">
        <f t="shared" si="18"/>
      </c>
      <c r="J30" s="135">
        <f>VLOOKUP($A30,Inscription!$B$3:$I$137,7)</f>
      </c>
      <c r="K30" s="156">
        <f>IF(J30="X",Inscription!$I$2,1)</f>
        <v>1</v>
      </c>
      <c r="L30" s="136">
        <f t="shared" si="19"/>
      </c>
      <c r="M30" s="137">
        <f t="shared" si="3"/>
      </c>
      <c r="N30" s="159">
        <f>IF(G30="","",VLOOKUP(C30,Inscription!$C$3:$P$137,13,FALSE))</f>
      </c>
      <c r="O30" s="159">
        <f t="shared" si="8"/>
      </c>
      <c r="P30" s="138">
        <f t="shared" si="20"/>
      </c>
    </row>
    <row r="31" spans="1:16" ht="12.75">
      <c r="A31" s="130">
        <v>29</v>
      </c>
      <c r="B31" s="154">
        <f t="shared" si="5"/>
      </c>
      <c r="C31" s="133">
        <f>VLOOKUP($A31,Inscription!$B$3:$I$137,2)</f>
        <v>0</v>
      </c>
      <c r="D31" s="34"/>
      <c r="E31" s="45"/>
      <c r="F31" s="155" t="b">
        <f t="shared" si="6"/>
        <v>0</v>
      </c>
      <c r="G31" s="156">
        <f t="shared" si="7"/>
      </c>
      <c r="H31" s="156">
        <f t="shared" si="17"/>
      </c>
      <c r="I31" s="156">
        <f t="shared" si="18"/>
      </c>
      <c r="J31" s="135">
        <f>VLOOKUP($A31,Inscription!$B$3:$I$137,7)</f>
      </c>
      <c r="K31" s="156">
        <f>IF(J31="X",Inscription!$I$2,1)</f>
        <v>1</v>
      </c>
      <c r="L31" s="136">
        <f t="shared" si="19"/>
      </c>
      <c r="M31" s="137">
        <f t="shared" si="3"/>
      </c>
      <c r="N31" s="159">
        <f>IF(G31="","",VLOOKUP(C31,Inscription!$C$3:$P$137,13,FALSE))</f>
      </c>
      <c r="O31" s="159">
        <f t="shared" si="8"/>
      </c>
      <c r="P31" s="138">
        <f t="shared" si="20"/>
      </c>
    </row>
    <row r="32" spans="1:16" ht="12.75">
      <c r="A32" s="130">
        <v>30</v>
      </c>
      <c r="B32" s="154">
        <f t="shared" si="5"/>
      </c>
      <c r="C32" s="133">
        <f>VLOOKUP($A32,Inscription!$B$3:$I$137,2)</f>
        <v>0</v>
      </c>
      <c r="D32" s="34"/>
      <c r="E32" s="45"/>
      <c r="F32" s="155" t="b">
        <f t="shared" si="6"/>
        <v>0</v>
      </c>
      <c r="G32" s="156">
        <f t="shared" si="7"/>
      </c>
      <c r="H32" s="156">
        <f t="shared" si="17"/>
      </c>
      <c r="I32" s="156">
        <f t="shared" si="18"/>
      </c>
      <c r="J32" s="135">
        <f>VLOOKUP($A32,Inscription!$B$3:$I$137,7)</f>
      </c>
      <c r="K32" s="156">
        <f>IF(J32="X",Inscription!$I$2,1)</f>
        <v>1</v>
      </c>
      <c r="L32" s="136">
        <f t="shared" si="19"/>
      </c>
      <c r="M32" s="137">
        <f t="shared" si="3"/>
      </c>
      <c r="N32" s="159">
        <f>IF(G32="","",VLOOKUP(C32,Inscription!$C$3:$P$137,13,FALSE))</f>
      </c>
      <c r="O32" s="159">
        <f t="shared" si="8"/>
      </c>
      <c r="P32" s="138">
        <f t="shared" si="20"/>
      </c>
    </row>
    <row r="33" spans="1:16" ht="12.75">
      <c r="A33" s="130">
        <v>31</v>
      </c>
      <c r="B33" s="154">
        <f t="shared" si="5"/>
      </c>
      <c r="C33" s="133">
        <f>VLOOKUP($A33,Inscription!$B$3:$I$137,2)</f>
        <v>0</v>
      </c>
      <c r="D33" s="34"/>
      <c r="E33" s="45"/>
      <c r="F33" s="155" t="b">
        <f t="shared" si="6"/>
        <v>0</v>
      </c>
      <c r="G33" s="156">
        <f t="shared" si="7"/>
      </c>
      <c r="H33" s="156">
        <f t="shared" si="17"/>
      </c>
      <c r="I33" s="156">
        <f t="shared" si="18"/>
      </c>
      <c r="J33" s="135">
        <f>VLOOKUP($A33,Inscription!$B$3:$I$137,7)</f>
      </c>
      <c r="K33" s="156">
        <f>IF(J33="X",Inscription!$I$2,1)</f>
        <v>1</v>
      </c>
      <c r="L33" s="136">
        <f t="shared" si="19"/>
      </c>
      <c r="M33" s="137">
        <f t="shared" si="3"/>
      </c>
      <c r="N33" s="159">
        <f>IF(G33="","",VLOOKUP(C33,Inscription!$C$3:$P$137,13,FALSE))</f>
      </c>
      <c r="O33" s="159">
        <f t="shared" si="8"/>
      </c>
      <c r="P33" s="138">
        <f t="shared" si="20"/>
      </c>
    </row>
    <row r="34" spans="1:16" ht="12.75">
      <c r="A34" s="130">
        <v>32</v>
      </c>
      <c r="B34" s="154">
        <f t="shared" si="5"/>
      </c>
      <c r="C34" s="133">
        <f>VLOOKUP($A34,Inscription!$B$3:$I$137,2)</f>
        <v>0</v>
      </c>
      <c r="D34" s="34"/>
      <c r="E34" s="45"/>
      <c r="F34" s="155" t="b">
        <f t="shared" si="6"/>
        <v>0</v>
      </c>
      <c r="G34" s="156">
        <f t="shared" si="7"/>
      </c>
      <c r="H34" s="156">
        <f t="shared" si="17"/>
      </c>
      <c r="I34" s="156">
        <f t="shared" si="18"/>
      </c>
      <c r="J34" s="135">
        <f>VLOOKUP($A34,Inscription!$B$3:$I$137,7)</f>
      </c>
      <c r="K34" s="156">
        <f>IF(J34="X",Inscription!$I$2,1)</f>
        <v>1</v>
      </c>
      <c r="L34" s="136">
        <f t="shared" si="19"/>
      </c>
      <c r="M34" s="137">
        <f t="shared" si="3"/>
      </c>
      <c r="N34" s="159">
        <f>IF(G34="","",VLOOKUP(C34,Inscription!$C$3:$P$137,13,FALSE))</f>
      </c>
      <c r="O34" s="159">
        <f t="shared" si="8"/>
      </c>
      <c r="P34" s="138">
        <f t="shared" si="20"/>
      </c>
    </row>
    <row r="35" spans="1:16" ht="12.75">
      <c r="A35" s="130">
        <v>33</v>
      </c>
      <c r="B35" s="154">
        <f t="shared" si="5"/>
      </c>
      <c r="C35" s="133">
        <f>VLOOKUP($A35,Inscription!$B$3:$I$137,2)</f>
        <v>0</v>
      </c>
      <c r="D35" s="34"/>
      <c r="E35" s="45"/>
      <c r="F35" s="155" t="b">
        <f t="shared" si="6"/>
        <v>0</v>
      </c>
      <c r="G35" s="156">
        <f t="shared" si="7"/>
      </c>
      <c r="H35" s="156">
        <f t="shared" si="17"/>
      </c>
      <c r="I35" s="156">
        <f t="shared" si="18"/>
      </c>
      <c r="J35" s="135">
        <f>VLOOKUP($A35,Inscription!$B$3:$I$137,7)</f>
      </c>
      <c r="K35" s="156">
        <f>IF(J35="X",Inscription!$I$2,1)</f>
        <v>1</v>
      </c>
      <c r="L35" s="136">
        <f t="shared" si="19"/>
      </c>
      <c r="M35" s="137">
        <f t="shared" si="3"/>
      </c>
      <c r="N35" s="159">
        <f>IF(G35="","",VLOOKUP(C35,Inscription!$C$3:$P$137,13,FALSE))</f>
      </c>
      <c r="O35" s="159">
        <f t="shared" si="8"/>
      </c>
      <c r="P35" s="138">
        <f t="shared" si="20"/>
      </c>
    </row>
    <row r="36" spans="1:16" ht="12.75">
      <c r="A36" s="130">
        <v>34</v>
      </c>
      <c r="B36" s="154">
        <f t="shared" si="5"/>
      </c>
      <c r="C36" s="133">
        <f>VLOOKUP($A36,Inscription!$B$3:$I$137,2)</f>
        <v>0</v>
      </c>
      <c r="D36" s="34"/>
      <c r="E36" s="45"/>
      <c r="F36" s="155" t="b">
        <f t="shared" si="6"/>
        <v>0</v>
      </c>
      <c r="G36" s="156">
        <f t="shared" si="7"/>
      </c>
      <c r="H36" s="156">
        <f t="shared" si="17"/>
      </c>
      <c r="I36" s="156">
        <f t="shared" si="18"/>
      </c>
      <c r="J36" s="135">
        <f>VLOOKUP($A36,Inscription!$B$3:$I$137,7)</f>
      </c>
      <c r="K36" s="156">
        <f>IF(J36="X",Inscription!$I$2,1)</f>
        <v>1</v>
      </c>
      <c r="L36" s="136">
        <f t="shared" si="19"/>
      </c>
      <c r="M36" s="137">
        <f t="shared" si="3"/>
      </c>
      <c r="N36" s="159">
        <f>IF(G36="","",VLOOKUP(C36,Inscription!$C$3:$P$137,13,FALSE))</f>
      </c>
      <c r="O36" s="159">
        <f t="shared" si="8"/>
      </c>
      <c r="P36" s="138">
        <f t="shared" si="20"/>
      </c>
    </row>
    <row r="37" spans="1:16" ht="12.75">
      <c r="A37" s="130">
        <v>35</v>
      </c>
      <c r="B37" s="154">
        <f t="shared" si="5"/>
      </c>
      <c r="C37" s="133">
        <f>VLOOKUP($A37,Inscription!$B$3:$I$137,2)</f>
        <v>0</v>
      </c>
      <c r="D37" s="34"/>
      <c r="E37" s="45"/>
      <c r="F37" s="155" t="b">
        <f t="shared" si="6"/>
        <v>0</v>
      </c>
      <c r="G37" s="156">
        <f t="shared" si="7"/>
      </c>
      <c r="H37" s="156">
        <f t="shared" si="17"/>
      </c>
      <c r="I37" s="156">
        <f t="shared" si="18"/>
      </c>
      <c r="J37" s="135">
        <f>VLOOKUP($A37,Inscription!$B$3:$I$137,7)</f>
      </c>
      <c r="K37" s="156">
        <f>IF(J37="X",Inscription!$I$2,1)</f>
        <v>1</v>
      </c>
      <c r="L37" s="136">
        <f t="shared" si="19"/>
      </c>
      <c r="M37" s="137">
        <f t="shared" si="3"/>
      </c>
      <c r="N37" s="159">
        <f>IF(G37="","",VLOOKUP(C37,Inscription!$C$3:$P$137,13,FALSE))</f>
      </c>
      <c r="O37" s="159">
        <f t="shared" si="8"/>
      </c>
      <c r="P37" s="138">
        <f t="shared" si="20"/>
      </c>
    </row>
    <row r="38" spans="1:16" ht="12.75">
      <c r="A38" s="130">
        <v>36</v>
      </c>
      <c r="B38" s="154">
        <f t="shared" si="5"/>
      </c>
      <c r="C38" s="133">
        <f>VLOOKUP($A38,Inscription!$B$3:$I$137,2)</f>
        <v>0</v>
      </c>
      <c r="D38" s="34"/>
      <c r="E38" s="45"/>
      <c r="F38" s="155" t="b">
        <f t="shared" si="6"/>
        <v>0</v>
      </c>
      <c r="G38" s="156">
        <f t="shared" si="7"/>
      </c>
      <c r="H38" s="156">
        <f t="shared" si="17"/>
      </c>
      <c r="I38" s="156">
        <f t="shared" si="18"/>
      </c>
      <c r="J38" s="135">
        <f>VLOOKUP($A38,Inscription!$B$3:$I$137,7)</f>
      </c>
      <c r="K38" s="156">
        <f>IF(J38="X",Inscription!$I$2,1)</f>
        <v>1</v>
      </c>
      <c r="L38" s="136">
        <f t="shared" si="19"/>
      </c>
      <c r="M38" s="137">
        <f t="shared" si="3"/>
      </c>
      <c r="N38" s="159">
        <f>IF(G38="","",VLOOKUP(C38,Inscription!$C$3:$P$137,13,FALSE))</f>
      </c>
      <c r="O38" s="159">
        <f t="shared" si="8"/>
      </c>
      <c r="P38" s="138">
        <f t="shared" si="20"/>
      </c>
    </row>
    <row r="39" spans="1:16" ht="12.75">
      <c r="A39" s="130">
        <v>37</v>
      </c>
      <c r="B39" s="154">
        <f t="shared" si="5"/>
      </c>
      <c r="C39" s="133">
        <f>VLOOKUP($A39,Inscription!$B$3:$I$137,2)</f>
        <v>0</v>
      </c>
      <c r="D39" s="34"/>
      <c r="E39" s="45"/>
      <c r="F39" s="155" t="b">
        <f t="shared" si="6"/>
        <v>0</v>
      </c>
      <c r="G39" s="156">
        <f t="shared" si="7"/>
      </c>
      <c r="H39" s="156">
        <f t="shared" si="17"/>
      </c>
      <c r="I39" s="156">
        <f t="shared" si="18"/>
      </c>
      <c r="J39" s="135">
        <f>VLOOKUP($A39,Inscription!$B$3:$I$137,7)</f>
      </c>
      <c r="K39" s="156">
        <f>IF(J39="X",Inscription!$I$2,1)</f>
        <v>1</v>
      </c>
      <c r="L39" s="136">
        <f t="shared" si="19"/>
      </c>
      <c r="M39" s="137">
        <f t="shared" si="3"/>
      </c>
      <c r="N39" s="159">
        <f>IF(G39="","",VLOOKUP(C39,Inscription!$C$3:$P$137,13,FALSE))</f>
      </c>
      <c r="O39" s="159">
        <f t="shared" si="8"/>
      </c>
      <c r="P39" s="138">
        <f t="shared" si="20"/>
      </c>
    </row>
    <row r="40" spans="1:16" ht="12.75">
      <c r="A40" s="130">
        <v>38</v>
      </c>
      <c r="B40" s="154">
        <f t="shared" si="5"/>
      </c>
      <c r="C40" s="133">
        <f>VLOOKUP($A40,Inscription!$B$3:$I$137,2)</f>
        <v>0</v>
      </c>
      <c r="D40" s="34"/>
      <c r="E40" s="45"/>
      <c r="F40" s="155" t="b">
        <f t="shared" si="6"/>
        <v>0</v>
      </c>
      <c r="G40" s="156">
        <f t="shared" si="7"/>
      </c>
      <c r="H40" s="156">
        <f t="shared" si="17"/>
      </c>
      <c r="I40" s="156">
        <f t="shared" si="18"/>
      </c>
      <c r="J40" s="135">
        <f>VLOOKUP($A40,Inscription!$B$3:$I$137,7)</f>
      </c>
      <c r="K40" s="156">
        <f>IF(J40="X",Inscription!$I$2,1)</f>
        <v>1</v>
      </c>
      <c r="L40" s="136">
        <f t="shared" si="19"/>
      </c>
      <c r="M40" s="137">
        <f t="shared" si="3"/>
      </c>
      <c r="N40" s="159">
        <f>IF(G40="","",VLOOKUP(C40,Inscription!$C$3:$P$137,13,FALSE))</f>
      </c>
      <c r="O40" s="159">
        <f t="shared" si="8"/>
      </c>
      <c r="P40" s="138">
        <f t="shared" si="20"/>
      </c>
    </row>
    <row r="41" spans="1:16" ht="12.75">
      <c r="A41" s="130">
        <v>39</v>
      </c>
      <c r="B41" s="154">
        <f t="shared" si="5"/>
      </c>
      <c r="C41" s="133">
        <f>VLOOKUP($A41,Inscription!$B$3:$I$137,2)</f>
        <v>0</v>
      </c>
      <c r="D41" s="34"/>
      <c r="E41" s="45"/>
      <c r="F41" s="155" t="b">
        <f t="shared" si="6"/>
        <v>0</v>
      </c>
      <c r="G41" s="156">
        <f t="shared" si="7"/>
      </c>
      <c r="H41" s="156">
        <f t="shared" si="17"/>
      </c>
      <c r="I41" s="156">
        <f t="shared" si="18"/>
      </c>
      <c r="J41" s="135">
        <f>VLOOKUP($A41,Inscription!$B$3:$I$137,7)</f>
      </c>
      <c r="K41" s="156">
        <f>IF(J41="X",Inscription!$I$2,1)</f>
        <v>1</v>
      </c>
      <c r="L41" s="136">
        <f t="shared" si="19"/>
      </c>
      <c r="M41" s="137">
        <f t="shared" si="3"/>
      </c>
      <c r="N41" s="159">
        <f>IF(G41="","",VLOOKUP(C41,Inscription!$C$3:$P$137,13,FALSE))</f>
      </c>
      <c r="O41" s="159">
        <f t="shared" si="8"/>
      </c>
      <c r="P41" s="138">
        <f t="shared" si="20"/>
      </c>
    </row>
    <row r="42" spans="1:16" ht="12.75">
      <c r="A42" s="130">
        <v>40</v>
      </c>
      <c r="B42" s="154">
        <f t="shared" si="5"/>
      </c>
      <c r="C42" s="133">
        <f>VLOOKUP($A42,Inscription!$B$3:$I$137,2)</f>
        <v>0</v>
      </c>
      <c r="D42" s="34"/>
      <c r="E42" s="45"/>
      <c r="F42" s="155" t="b">
        <f t="shared" si="6"/>
        <v>0</v>
      </c>
      <c r="G42" s="156">
        <f t="shared" si="7"/>
      </c>
      <c r="H42" s="156">
        <f t="shared" si="17"/>
      </c>
      <c r="I42" s="156">
        <f t="shared" si="18"/>
      </c>
      <c r="J42" s="135">
        <f>VLOOKUP($A42,Inscription!$B$3:$I$137,7)</f>
      </c>
      <c r="K42" s="156">
        <f>IF(J42="X",Inscription!$I$2,1)</f>
        <v>1</v>
      </c>
      <c r="L42" s="136">
        <f t="shared" si="19"/>
      </c>
      <c r="M42" s="137">
        <f t="shared" si="3"/>
      </c>
      <c r="N42" s="159">
        <f>IF(G42="","",VLOOKUP(C42,Inscription!$C$3:$P$137,13,FALSE))</f>
      </c>
      <c r="O42" s="159">
        <f t="shared" si="8"/>
      </c>
      <c r="P42" s="138">
        <f t="shared" si="20"/>
      </c>
    </row>
    <row r="43" spans="1:16" ht="12.75">
      <c r="A43" s="130">
        <v>41</v>
      </c>
      <c r="B43" s="154">
        <f t="shared" si="5"/>
      </c>
      <c r="C43" s="133">
        <f>VLOOKUP($A43,Inscription!$B$3:$I$137,2)</f>
        <v>0</v>
      </c>
      <c r="D43" s="34"/>
      <c r="E43" s="45"/>
      <c r="F43" s="155" t="b">
        <f t="shared" si="6"/>
        <v>0</v>
      </c>
      <c r="G43" s="156">
        <f t="shared" si="7"/>
      </c>
      <c r="H43" s="156">
        <f t="shared" si="17"/>
      </c>
      <c r="I43" s="156">
        <f t="shared" si="18"/>
      </c>
      <c r="J43" s="135">
        <f>VLOOKUP($A43,Inscription!$B$3:$I$137,7)</f>
      </c>
      <c r="K43" s="156">
        <f>IF(J43="X",Inscription!$I$2,1)</f>
        <v>1</v>
      </c>
      <c r="L43" s="136">
        <f t="shared" si="19"/>
      </c>
      <c r="M43" s="137">
        <f t="shared" si="3"/>
      </c>
      <c r="N43" s="159">
        <f>IF(G43="","",VLOOKUP(C43,Inscription!$C$3:$P$137,13,FALSE))</f>
      </c>
      <c r="O43" s="159">
        <f t="shared" si="8"/>
      </c>
      <c r="P43" s="138">
        <f t="shared" si="20"/>
      </c>
    </row>
    <row r="44" spans="1:16" ht="12.75">
      <c r="A44" s="130">
        <v>42</v>
      </c>
      <c r="B44" s="154">
        <f t="shared" si="5"/>
      </c>
      <c r="C44" s="133">
        <f>VLOOKUP($A44,Inscription!$B$3:$I$137,2)</f>
        <v>0</v>
      </c>
      <c r="D44" s="34"/>
      <c r="E44" s="45"/>
      <c r="F44" s="155" t="b">
        <f t="shared" si="6"/>
        <v>0</v>
      </c>
      <c r="G44" s="156">
        <f t="shared" si="7"/>
      </c>
      <c r="H44" s="156">
        <f t="shared" si="17"/>
      </c>
      <c r="I44" s="156">
        <f t="shared" si="18"/>
      </c>
      <c r="J44" s="135">
        <f>VLOOKUP($A44,Inscription!$B$3:$I$137,7)</f>
      </c>
      <c r="K44" s="156">
        <f>IF(J44="X",Inscription!$I$2,1)</f>
        <v>1</v>
      </c>
      <c r="L44" s="136">
        <f t="shared" si="19"/>
      </c>
      <c r="M44" s="137">
        <f t="shared" si="3"/>
      </c>
      <c r="N44" s="159">
        <f>IF(G44="","",VLOOKUP(C44,Inscription!$C$3:$P$137,13,FALSE))</f>
      </c>
      <c r="O44" s="159">
        <f t="shared" si="8"/>
      </c>
      <c r="P44" s="138">
        <f t="shared" si="20"/>
      </c>
    </row>
    <row r="45" spans="1:16" ht="12.75">
      <c r="A45" s="130">
        <v>43</v>
      </c>
      <c r="B45" s="154">
        <f t="shared" si="5"/>
      </c>
      <c r="C45" s="133">
        <f>VLOOKUP($A45,Inscription!$B$3:$I$137,2)</f>
        <v>0</v>
      </c>
      <c r="D45" s="34"/>
      <c r="E45" s="45"/>
      <c r="F45" s="155" t="b">
        <f t="shared" si="6"/>
        <v>0</v>
      </c>
      <c r="G45" s="156">
        <f t="shared" si="7"/>
      </c>
      <c r="H45" s="156">
        <f t="shared" si="17"/>
      </c>
      <c r="I45" s="156">
        <f t="shared" si="18"/>
      </c>
      <c r="J45" s="135">
        <f>VLOOKUP($A45,Inscription!$B$3:$I$137,7)</f>
      </c>
      <c r="K45" s="156">
        <f>IF(J45="X",Inscription!$I$2,1)</f>
        <v>1</v>
      </c>
      <c r="L45" s="136">
        <f t="shared" si="19"/>
      </c>
      <c r="M45" s="137">
        <f t="shared" si="3"/>
      </c>
      <c r="N45" s="159">
        <f>IF(G45="","",VLOOKUP(C45,Inscription!$C$3:$P$137,13,FALSE))</f>
      </c>
      <c r="O45" s="159">
        <f t="shared" si="8"/>
      </c>
      <c r="P45" s="138">
        <f t="shared" si="20"/>
      </c>
    </row>
    <row r="46" spans="1:16" ht="12.75">
      <c r="A46" s="130">
        <v>44</v>
      </c>
      <c r="B46" s="154">
        <f t="shared" si="5"/>
      </c>
      <c r="C46" s="133">
        <f>VLOOKUP($A46,Inscription!$B$3:$I$137,2)</f>
        <v>0</v>
      </c>
      <c r="D46" s="34"/>
      <c r="E46" s="45"/>
      <c r="F46" s="155" t="b">
        <f t="shared" si="6"/>
        <v>0</v>
      </c>
      <c r="G46" s="156">
        <f t="shared" si="7"/>
      </c>
      <c r="H46" s="156">
        <f t="shared" si="17"/>
      </c>
      <c r="I46" s="156">
        <f t="shared" si="18"/>
      </c>
      <c r="J46" s="135">
        <f>VLOOKUP($A46,Inscription!$B$3:$I$137,7)</f>
      </c>
      <c r="K46" s="156">
        <f>IF(J46="X",Inscription!$I$2,1)</f>
        <v>1</v>
      </c>
      <c r="L46" s="136">
        <f t="shared" si="19"/>
      </c>
      <c r="M46" s="137">
        <f t="shared" si="3"/>
      </c>
      <c r="N46" s="159">
        <f>IF(G46="","",VLOOKUP(C46,Inscription!$C$3:$P$137,13,FALSE))</f>
      </c>
      <c r="O46" s="159">
        <f t="shared" si="8"/>
      </c>
      <c r="P46" s="138">
        <f t="shared" si="20"/>
      </c>
    </row>
    <row r="47" spans="1:16" ht="13.5" thickBot="1">
      <c r="A47" s="130">
        <v>45</v>
      </c>
      <c r="B47" s="154">
        <f t="shared" si="5"/>
      </c>
      <c r="C47" s="134">
        <f>VLOOKUP($A47,Inscription!$B$3:$I$137,2)</f>
        <v>0</v>
      </c>
      <c r="D47" s="35"/>
      <c r="E47" s="46"/>
      <c r="F47" s="157" t="b">
        <f t="shared" si="6"/>
        <v>0</v>
      </c>
      <c r="G47" s="158">
        <f t="shared" si="7"/>
      </c>
      <c r="H47" s="158">
        <f t="shared" si="17"/>
      </c>
      <c r="I47" s="158">
        <f t="shared" si="18"/>
      </c>
      <c r="J47" s="139">
        <f>VLOOKUP($A47,Inscription!$B$3:$I$137,7)</f>
      </c>
      <c r="K47" s="158">
        <f>IF(J47="X",Inscription!$I$2,1)</f>
        <v>1</v>
      </c>
      <c r="L47" s="140">
        <f t="shared" si="19"/>
      </c>
      <c r="M47" s="141">
        <f t="shared" si="3"/>
      </c>
      <c r="N47" s="160">
        <f>IF(G47="","",VLOOKUP(C47,Inscription!$C$3:$P$137,13,FALSE))</f>
      </c>
      <c r="O47" s="160">
        <f t="shared" si="8"/>
      </c>
      <c r="P47" s="142">
        <f t="shared" si="20"/>
      </c>
    </row>
    <row r="48" spans="7:16" ht="12.75" hidden="1">
      <c r="G48" s="40">
        <f>AVERAGE(F49:F50)</f>
        <v>419.5</v>
      </c>
      <c r="J48" s="1"/>
      <c r="N48" s="2"/>
      <c r="O48" s="2"/>
      <c r="P48" s="1"/>
    </row>
    <row r="49" spans="4:16" ht="12.75" hidden="1">
      <c r="D49" s="343" t="s">
        <v>15</v>
      </c>
      <c r="E49" s="343"/>
      <c r="F49">
        <f>SMALL(F$3:F$47,1)</f>
        <v>211</v>
      </c>
      <c r="G49" s="40">
        <f>VLOOKUP(F49,G3:H47,2,FALSE)</f>
        <v>1.9881516587677726</v>
      </c>
      <c r="H49">
        <f>30/G49</f>
        <v>15.089392133492252</v>
      </c>
      <c r="J49" s="1"/>
      <c r="N49" s="2"/>
      <c r="O49" s="2"/>
      <c r="P49" s="1"/>
    </row>
    <row r="50" spans="4:16" ht="12.75" hidden="1">
      <c r="D50" s="343" t="s">
        <v>16</v>
      </c>
      <c r="E50" s="343"/>
      <c r="F50">
        <f>LARGE(F$3:F$47,1)</f>
        <v>628</v>
      </c>
      <c r="J50" s="1"/>
      <c r="N50" s="2"/>
      <c r="O50" s="2"/>
      <c r="P50" s="1"/>
    </row>
    <row r="51" spans="4:16" ht="12.75">
      <c r="D51">
        <f>SUM(D16:E50)</f>
        <v>237</v>
      </c>
      <c r="E51">
        <f>SUM(D16:E50)</f>
        <v>237</v>
      </c>
      <c r="J51" s="1">
        <f>D51*60+E51</f>
        <v>14457</v>
      </c>
      <c r="N51" s="2"/>
      <c r="O51" s="2"/>
      <c r="P51" s="1"/>
    </row>
  </sheetData>
  <sheetProtection password="DB53" sheet="1" objects="1" scenarios="1"/>
  <mergeCells count="6">
    <mergeCell ref="U5:V6"/>
    <mergeCell ref="D49:E49"/>
    <mergeCell ref="D50:E50"/>
    <mergeCell ref="F2:G2"/>
    <mergeCell ref="J2:L2"/>
    <mergeCell ref="U4:V4"/>
  </mergeCells>
  <conditionalFormatting sqref="C3:C47">
    <cfRule type="cellIs" priority="1" dxfId="9" operator="equal" stopIfTrue="1">
      <formula>0</formula>
    </cfRule>
  </conditionalFormatting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7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154"/>
  <sheetViews>
    <sheetView zoomScale="115" zoomScaleNormal="115" workbookViewId="0" topLeftCell="A1">
      <selection activeCell="B2" sqref="B2"/>
    </sheetView>
  </sheetViews>
  <sheetFormatPr defaultColWidth="11.421875" defaultRowHeight="12.75"/>
  <cols>
    <col min="1" max="1" width="7.28125" style="0" customWidth="1"/>
    <col min="2" max="2" width="14.7109375" style="0" customWidth="1"/>
    <col min="3" max="3" width="8.7109375" style="0" hidden="1" customWidth="1"/>
    <col min="4" max="4" width="11.421875" style="1" hidden="1" customWidth="1"/>
    <col min="5" max="5" width="6.7109375" style="1" customWidth="1"/>
    <col min="6" max="6" width="0" style="1" hidden="1" customWidth="1"/>
    <col min="7" max="8" width="6.7109375" style="1" customWidth="1"/>
    <col min="9" max="9" width="2.140625" style="0" customWidth="1"/>
    <col min="10" max="33" width="6.7109375" style="0" customWidth="1"/>
  </cols>
  <sheetData>
    <row r="1" ht="13.5" thickBot="1"/>
    <row r="2" spans="10:33" ht="13.5" thickBot="1">
      <c r="J2" s="355" t="s">
        <v>60</v>
      </c>
      <c r="K2" s="356"/>
      <c r="L2" s="357"/>
      <c r="M2" s="355" t="s">
        <v>61</v>
      </c>
      <c r="N2" s="356"/>
      <c r="O2" s="357"/>
      <c r="P2" s="355" t="s">
        <v>62</v>
      </c>
      <c r="Q2" s="356"/>
      <c r="R2" s="357"/>
      <c r="S2" s="355" t="s">
        <v>63</v>
      </c>
      <c r="T2" s="356"/>
      <c r="U2" s="357"/>
      <c r="V2" s="355" t="s">
        <v>64</v>
      </c>
      <c r="W2" s="356"/>
      <c r="X2" s="357"/>
      <c r="Y2" s="355" t="s">
        <v>65</v>
      </c>
      <c r="Z2" s="356"/>
      <c r="AA2" s="357"/>
      <c r="AB2" s="355" t="s">
        <v>66</v>
      </c>
      <c r="AC2" s="356"/>
      <c r="AD2" s="357"/>
      <c r="AE2" s="355" t="s">
        <v>67</v>
      </c>
      <c r="AF2" s="356"/>
      <c r="AG2" s="357"/>
    </row>
    <row r="3" spans="2:33" ht="12.75">
      <c r="B3" s="283"/>
      <c r="C3" s="272" t="s">
        <v>70</v>
      </c>
      <c r="D3" s="349" t="s">
        <v>68</v>
      </c>
      <c r="E3" s="349"/>
      <c r="F3" s="349" t="s">
        <v>69</v>
      </c>
      <c r="G3" s="349"/>
      <c r="H3" s="273" t="s">
        <v>32</v>
      </c>
      <c r="I3" s="277"/>
      <c r="J3" s="284" t="s">
        <v>68</v>
      </c>
      <c r="K3" s="285" t="s">
        <v>69</v>
      </c>
      <c r="L3" s="286" t="s">
        <v>32</v>
      </c>
      <c r="M3" s="284" t="s">
        <v>68</v>
      </c>
      <c r="N3" s="285" t="s">
        <v>69</v>
      </c>
      <c r="O3" s="286" t="s">
        <v>32</v>
      </c>
      <c r="P3" s="284" t="s">
        <v>68</v>
      </c>
      <c r="Q3" s="285" t="s">
        <v>69</v>
      </c>
      <c r="R3" s="286" t="s">
        <v>32</v>
      </c>
      <c r="S3" s="284" t="s">
        <v>68</v>
      </c>
      <c r="T3" s="285" t="s">
        <v>69</v>
      </c>
      <c r="U3" s="286" t="s">
        <v>32</v>
      </c>
      <c r="V3" s="284" t="s">
        <v>68</v>
      </c>
      <c r="W3" s="285" t="s">
        <v>69</v>
      </c>
      <c r="X3" s="286" t="s">
        <v>32</v>
      </c>
      <c r="Y3" s="284" t="s">
        <v>68</v>
      </c>
      <c r="Z3" s="285" t="s">
        <v>69</v>
      </c>
      <c r="AA3" s="286" t="s">
        <v>32</v>
      </c>
      <c r="AB3" s="284" t="s">
        <v>68</v>
      </c>
      <c r="AC3" s="285" t="s">
        <v>69</v>
      </c>
      <c r="AD3" s="286" t="s">
        <v>32</v>
      </c>
      <c r="AE3" s="284" t="s">
        <v>68</v>
      </c>
      <c r="AF3" s="285" t="s">
        <v>69</v>
      </c>
      <c r="AG3" s="286" t="s">
        <v>32</v>
      </c>
    </row>
    <row r="4" spans="2:33" ht="12.75" customHeight="1" hidden="1">
      <c r="B4" s="271"/>
      <c r="C4" s="271">
        <f>Inscription!I3</f>
        <v>13</v>
      </c>
      <c r="D4" s="272" t="str">
        <f>Inscription!F3</f>
        <v>x</v>
      </c>
      <c r="E4" s="272">
        <f>IF(D4&lt;&gt;0,1,0)</f>
        <v>1</v>
      </c>
      <c r="F4" s="272">
        <f>Inscription!G3</f>
        <v>0</v>
      </c>
      <c r="G4" s="272">
        <f>IF(F4&lt;&gt;0,1,0)</f>
        <v>0</v>
      </c>
      <c r="H4" s="272"/>
      <c r="I4" s="277"/>
      <c r="J4" s="280">
        <f aca="true" t="shared" si="0" ref="J4:J46">IF(AND(C4&lt;9,E4=1),1,0)</f>
        <v>0</v>
      </c>
      <c r="K4" s="271">
        <f aca="true" t="shared" si="1" ref="K4:K46">IF(AND(C4&lt;9,G4=1),1,0)</f>
        <v>0</v>
      </c>
      <c r="L4" s="281"/>
      <c r="M4" s="280">
        <f aca="true" t="shared" si="2" ref="M4:M46">IF(AND(C4=9,E4=1),1,0)</f>
        <v>0</v>
      </c>
      <c r="N4" s="271">
        <f aca="true" t="shared" si="3" ref="N4:N46">IF(AND(C4=9,G4=1),1,0)</f>
        <v>0</v>
      </c>
      <c r="O4" s="281"/>
      <c r="P4" s="280">
        <f aca="true" t="shared" si="4" ref="P4:P46">IF(AND(C4=10,E4=1),1,0)</f>
        <v>0</v>
      </c>
      <c r="Q4" s="271">
        <f aca="true" t="shared" si="5" ref="Q4:Q46">IF(AND(C4=10,G4=1),1,0)</f>
        <v>0</v>
      </c>
      <c r="R4" s="281"/>
      <c r="S4" s="280">
        <f aca="true" t="shared" si="6" ref="S4:S46">IF(AND(C4=11,E4=1),1,0)</f>
        <v>0</v>
      </c>
      <c r="T4" s="271">
        <f aca="true" t="shared" si="7" ref="T4:T46">IF(AND(C4=11,G4=1),1,0)</f>
        <v>0</v>
      </c>
      <c r="U4" s="281"/>
      <c r="V4" s="280">
        <f aca="true" t="shared" si="8" ref="V4:V46">IF(AND(C4=12,E4=1),1,0)</f>
        <v>0</v>
      </c>
      <c r="W4" s="271">
        <f aca="true" t="shared" si="9" ref="W4:W46">IF(AND(C4=12,G4=1),1,0)</f>
        <v>0</v>
      </c>
      <c r="X4" s="281"/>
      <c r="Y4" s="280">
        <f aca="true" t="shared" si="10" ref="Y4:Y46">IF(AND(C4=13,E4=1),1,0)</f>
        <v>1</v>
      </c>
      <c r="Z4" s="271">
        <f aca="true" t="shared" si="11" ref="Z4:Z46">IF(AND(C4=13,G4=1),1,0)</f>
        <v>0</v>
      </c>
      <c r="AA4" s="281"/>
      <c r="AB4" s="280">
        <f aca="true" t="shared" si="12" ref="AB4:AB46">IF(AND(C4=14,E4=1),1,0)</f>
        <v>0</v>
      </c>
      <c r="AC4" s="271">
        <f aca="true" t="shared" si="13" ref="AC4:AC46">IF(AND(C4=14,G4=1),1,0)</f>
        <v>0</v>
      </c>
      <c r="AD4" s="281"/>
      <c r="AE4" s="280">
        <f aca="true" t="shared" si="14" ref="AE4:AE46">IF(AND(C4&gt;14,E4=1),1,0)</f>
        <v>0</v>
      </c>
      <c r="AF4" s="271">
        <f aca="true" t="shared" si="15" ref="AF4:AF46">IF(AND(C4&gt;14,G4=1),1,0)</f>
        <v>0</v>
      </c>
      <c r="AG4" s="281"/>
    </row>
    <row r="5" spans="2:33" ht="12.75" customHeight="1" hidden="1">
      <c r="B5" s="271"/>
      <c r="C5" s="271">
        <f>Inscription!I4</f>
        <v>13</v>
      </c>
      <c r="D5" s="272" t="str">
        <f>Inscription!F4</f>
        <v>x</v>
      </c>
      <c r="E5" s="272">
        <f aca="true" t="shared" si="16" ref="E5:E68">IF(D5&lt;&gt;0,1,0)</f>
        <v>1</v>
      </c>
      <c r="F5" s="272">
        <f>Inscription!G4</f>
        <v>0</v>
      </c>
      <c r="G5" s="272">
        <f aca="true" t="shared" si="17" ref="G5:G68">IF(F5&lt;&gt;0,1,0)</f>
        <v>0</v>
      </c>
      <c r="H5" s="272"/>
      <c r="I5" s="277"/>
      <c r="J5" s="280">
        <f t="shared" si="0"/>
        <v>0</v>
      </c>
      <c r="K5" s="271">
        <f t="shared" si="1"/>
        <v>0</v>
      </c>
      <c r="L5" s="281"/>
      <c r="M5" s="280">
        <f t="shared" si="2"/>
        <v>0</v>
      </c>
      <c r="N5" s="271">
        <f t="shared" si="3"/>
        <v>0</v>
      </c>
      <c r="O5" s="281"/>
      <c r="P5" s="280">
        <f t="shared" si="4"/>
        <v>0</v>
      </c>
      <c r="Q5" s="271">
        <f t="shared" si="5"/>
        <v>0</v>
      </c>
      <c r="R5" s="281"/>
      <c r="S5" s="280">
        <f t="shared" si="6"/>
        <v>0</v>
      </c>
      <c r="T5" s="271">
        <f t="shared" si="7"/>
        <v>0</v>
      </c>
      <c r="U5" s="281"/>
      <c r="V5" s="280">
        <f t="shared" si="8"/>
        <v>0</v>
      </c>
      <c r="W5" s="271">
        <f t="shared" si="9"/>
        <v>0</v>
      </c>
      <c r="X5" s="281"/>
      <c r="Y5" s="280">
        <f t="shared" si="10"/>
        <v>1</v>
      </c>
      <c r="Z5" s="271">
        <f t="shared" si="11"/>
        <v>0</v>
      </c>
      <c r="AA5" s="281"/>
      <c r="AB5" s="280">
        <f t="shared" si="12"/>
        <v>0</v>
      </c>
      <c r="AC5" s="271">
        <f t="shared" si="13"/>
        <v>0</v>
      </c>
      <c r="AD5" s="281"/>
      <c r="AE5" s="280">
        <f t="shared" si="14"/>
        <v>0</v>
      </c>
      <c r="AF5" s="271">
        <f t="shared" si="15"/>
        <v>0</v>
      </c>
      <c r="AG5" s="281"/>
    </row>
    <row r="6" spans="2:33" ht="12.75" customHeight="1" hidden="1">
      <c r="B6" s="271"/>
      <c r="C6" s="271">
        <f>Inscription!I5</f>
        <v>12</v>
      </c>
      <c r="D6" s="272" t="str">
        <f>Inscription!F5</f>
        <v>x</v>
      </c>
      <c r="E6" s="272">
        <f t="shared" si="16"/>
        <v>1</v>
      </c>
      <c r="F6" s="272">
        <f>Inscription!G5</f>
        <v>0</v>
      </c>
      <c r="G6" s="272">
        <f t="shared" si="17"/>
        <v>0</v>
      </c>
      <c r="H6" s="272"/>
      <c r="I6" s="277"/>
      <c r="J6" s="280">
        <f t="shared" si="0"/>
        <v>0</v>
      </c>
      <c r="K6" s="271">
        <f t="shared" si="1"/>
        <v>0</v>
      </c>
      <c r="L6" s="281"/>
      <c r="M6" s="280">
        <f t="shared" si="2"/>
        <v>0</v>
      </c>
      <c r="N6" s="271">
        <f t="shared" si="3"/>
        <v>0</v>
      </c>
      <c r="O6" s="281"/>
      <c r="P6" s="280">
        <f t="shared" si="4"/>
        <v>0</v>
      </c>
      <c r="Q6" s="271">
        <f t="shared" si="5"/>
        <v>0</v>
      </c>
      <c r="R6" s="281"/>
      <c r="S6" s="280">
        <f t="shared" si="6"/>
        <v>0</v>
      </c>
      <c r="T6" s="271">
        <f t="shared" si="7"/>
        <v>0</v>
      </c>
      <c r="U6" s="281"/>
      <c r="V6" s="280">
        <f t="shared" si="8"/>
        <v>1</v>
      </c>
      <c r="W6" s="271">
        <f t="shared" si="9"/>
        <v>0</v>
      </c>
      <c r="X6" s="281"/>
      <c r="Y6" s="280">
        <f t="shared" si="10"/>
        <v>0</v>
      </c>
      <c r="Z6" s="271">
        <f t="shared" si="11"/>
        <v>0</v>
      </c>
      <c r="AA6" s="281"/>
      <c r="AB6" s="280">
        <f t="shared" si="12"/>
        <v>0</v>
      </c>
      <c r="AC6" s="271">
        <f t="shared" si="13"/>
        <v>0</v>
      </c>
      <c r="AD6" s="281"/>
      <c r="AE6" s="280">
        <f t="shared" si="14"/>
        <v>0</v>
      </c>
      <c r="AF6" s="271">
        <f t="shared" si="15"/>
        <v>0</v>
      </c>
      <c r="AG6" s="281"/>
    </row>
    <row r="7" spans="2:33" ht="12.75" customHeight="1" hidden="1">
      <c r="B7" s="271"/>
      <c r="C7" s="271">
        <f>Inscription!I6</f>
        <v>10</v>
      </c>
      <c r="D7" s="272" t="str">
        <f>Inscription!F6</f>
        <v>x</v>
      </c>
      <c r="E7" s="272">
        <f t="shared" si="16"/>
        <v>1</v>
      </c>
      <c r="F7" s="272">
        <f>Inscription!G6</f>
        <v>0</v>
      </c>
      <c r="G7" s="272">
        <f t="shared" si="17"/>
        <v>0</v>
      </c>
      <c r="H7" s="272"/>
      <c r="I7" s="277"/>
      <c r="J7" s="280">
        <f t="shared" si="0"/>
        <v>0</v>
      </c>
      <c r="K7" s="271">
        <f t="shared" si="1"/>
        <v>0</v>
      </c>
      <c r="L7" s="281"/>
      <c r="M7" s="280">
        <f t="shared" si="2"/>
        <v>0</v>
      </c>
      <c r="N7" s="271">
        <f t="shared" si="3"/>
        <v>0</v>
      </c>
      <c r="O7" s="281"/>
      <c r="P7" s="280">
        <f t="shared" si="4"/>
        <v>1</v>
      </c>
      <c r="Q7" s="271">
        <f t="shared" si="5"/>
        <v>0</v>
      </c>
      <c r="R7" s="281"/>
      <c r="S7" s="280">
        <f t="shared" si="6"/>
        <v>0</v>
      </c>
      <c r="T7" s="271">
        <f t="shared" si="7"/>
        <v>0</v>
      </c>
      <c r="U7" s="281"/>
      <c r="V7" s="280">
        <f t="shared" si="8"/>
        <v>0</v>
      </c>
      <c r="W7" s="271">
        <f t="shared" si="9"/>
        <v>0</v>
      </c>
      <c r="X7" s="281"/>
      <c r="Y7" s="280">
        <f t="shared" si="10"/>
        <v>0</v>
      </c>
      <c r="Z7" s="271">
        <f t="shared" si="11"/>
        <v>0</v>
      </c>
      <c r="AA7" s="281"/>
      <c r="AB7" s="280">
        <f t="shared" si="12"/>
        <v>0</v>
      </c>
      <c r="AC7" s="271">
        <f t="shared" si="13"/>
        <v>0</v>
      </c>
      <c r="AD7" s="281"/>
      <c r="AE7" s="280">
        <f t="shared" si="14"/>
        <v>0</v>
      </c>
      <c r="AF7" s="271">
        <f t="shared" si="15"/>
        <v>0</v>
      </c>
      <c r="AG7" s="281"/>
    </row>
    <row r="8" spans="2:33" ht="12.75" customHeight="1" hidden="1">
      <c r="B8" s="271"/>
      <c r="C8" s="271">
        <f>Inscription!I7</f>
        <v>9</v>
      </c>
      <c r="D8" s="272" t="str">
        <f>Inscription!F7</f>
        <v>x</v>
      </c>
      <c r="E8" s="272">
        <f t="shared" si="16"/>
        <v>1</v>
      </c>
      <c r="F8" s="272">
        <f>Inscription!G7</f>
        <v>0</v>
      </c>
      <c r="G8" s="272">
        <f t="shared" si="17"/>
        <v>0</v>
      </c>
      <c r="H8" s="272"/>
      <c r="I8" s="277"/>
      <c r="J8" s="280">
        <f t="shared" si="0"/>
        <v>0</v>
      </c>
      <c r="K8" s="271">
        <f t="shared" si="1"/>
        <v>0</v>
      </c>
      <c r="L8" s="281"/>
      <c r="M8" s="280">
        <f t="shared" si="2"/>
        <v>1</v>
      </c>
      <c r="N8" s="271">
        <f t="shared" si="3"/>
        <v>0</v>
      </c>
      <c r="O8" s="281"/>
      <c r="P8" s="280">
        <f t="shared" si="4"/>
        <v>0</v>
      </c>
      <c r="Q8" s="271">
        <f t="shared" si="5"/>
        <v>0</v>
      </c>
      <c r="R8" s="281"/>
      <c r="S8" s="280">
        <f t="shared" si="6"/>
        <v>0</v>
      </c>
      <c r="T8" s="271">
        <f t="shared" si="7"/>
        <v>0</v>
      </c>
      <c r="U8" s="281"/>
      <c r="V8" s="280">
        <f t="shared" si="8"/>
        <v>0</v>
      </c>
      <c r="W8" s="271">
        <f t="shared" si="9"/>
        <v>0</v>
      </c>
      <c r="X8" s="281"/>
      <c r="Y8" s="280">
        <f t="shared" si="10"/>
        <v>0</v>
      </c>
      <c r="Z8" s="271">
        <f t="shared" si="11"/>
        <v>0</v>
      </c>
      <c r="AA8" s="281"/>
      <c r="AB8" s="280">
        <f t="shared" si="12"/>
        <v>0</v>
      </c>
      <c r="AC8" s="271">
        <f t="shared" si="13"/>
        <v>0</v>
      </c>
      <c r="AD8" s="281"/>
      <c r="AE8" s="280">
        <f t="shared" si="14"/>
        <v>0</v>
      </c>
      <c r="AF8" s="271">
        <f t="shared" si="15"/>
        <v>0</v>
      </c>
      <c r="AG8" s="281"/>
    </row>
    <row r="9" spans="2:33" ht="12.75" customHeight="1" hidden="1">
      <c r="B9" s="271"/>
      <c r="C9" s="271">
        <f>Inscription!I8</f>
        <v>10</v>
      </c>
      <c r="D9" s="272" t="str">
        <f>Inscription!F8</f>
        <v>x</v>
      </c>
      <c r="E9" s="272">
        <f t="shared" si="16"/>
        <v>1</v>
      </c>
      <c r="F9" s="272">
        <f>Inscription!G8</f>
        <v>0</v>
      </c>
      <c r="G9" s="272">
        <f t="shared" si="17"/>
        <v>0</v>
      </c>
      <c r="H9" s="272"/>
      <c r="I9" s="277"/>
      <c r="J9" s="280">
        <f t="shared" si="0"/>
        <v>0</v>
      </c>
      <c r="K9" s="271">
        <f t="shared" si="1"/>
        <v>0</v>
      </c>
      <c r="L9" s="281"/>
      <c r="M9" s="280">
        <f t="shared" si="2"/>
        <v>0</v>
      </c>
      <c r="N9" s="271">
        <f t="shared" si="3"/>
        <v>0</v>
      </c>
      <c r="O9" s="281"/>
      <c r="P9" s="280">
        <f t="shared" si="4"/>
        <v>1</v>
      </c>
      <c r="Q9" s="271">
        <f t="shared" si="5"/>
        <v>0</v>
      </c>
      <c r="R9" s="281"/>
      <c r="S9" s="280">
        <f t="shared" si="6"/>
        <v>0</v>
      </c>
      <c r="T9" s="271">
        <f t="shared" si="7"/>
        <v>0</v>
      </c>
      <c r="U9" s="281"/>
      <c r="V9" s="280">
        <f t="shared" si="8"/>
        <v>0</v>
      </c>
      <c r="W9" s="271">
        <f t="shared" si="9"/>
        <v>0</v>
      </c>
      <c r="X9" s="281"/>
      <c r="Y9" s="280">
        <f t="shared" si="10"/>
        <v>0</v>
      </c>
      <c r="Z9" s="271">
        <f t="shared" si="11"/>
        <v>0</v>
      </c>
      <c r="AA9" s="281"/>
      <c r="AB9" s="280">
        <f t="shared" si="12"/>
        <v>0</v>
      </c>
      <c r="AC9" s="271">
        <f t="shared" si="13"/>
        <v>0</v>
      </c>
      <c r="AD9" s="281"/>
      <c r="AE9" s="280">
        <f t="shared" si="14"/>
        <v>0</v>
      </c>
      <c r="AF9" s="271">
        <f t="shared" si="15"/>
        <v>0</v>
      </c>
      <c r="AG9" s="281"/>
    </row>
    <row r="10" spans="2:33" ht="12.75" customHeight="1" hidden="1">
      <c r="B10" s="271"/>
      <c r="C10" s="271">
        <f>Inscription!I9</f>
        <v>9</v>
      </c>
      <c r="D10" s="272">
        <f>Inscription!F9</f>
        <v>0</v>
      </c>
      <c r="E10" s="272">
        <f t="shared" si="16"/>
        <v>0</v>
      </c>
      <c r="F10" s="272" t="str">
        <f>Inscription!G9</f>
        <v>x</v>
      </c>
      <c r="G10" s="272">
        <f t="shared" si="17"/>
        <v>1</v>
      </c>
      <c r="H10" s="272"/>
      <c r="I10" s="277"/>
      <c r="J10" s="280">
        <f t="shared" si="0"/>
        <v>0</v>
      </c>
      <c r="K10" s="271">
        <f t="shared" si="1"/>
        <v>0</v>
      </c>
      <c r="L10" s="281"/>
      <c r="M10" s="280">
        <f t="shared" si="2"/>
        <v>0</v>
      </c>
      <c r="N10" s="271">
        <f t="shared" si="3"/>
        <v>1</v>
      </c>
      <c r="O10" s="281"/>
      <c r="P10" s="280">
        <f t="shared" si="4"/>
        <v>0</v>
      </c>
      <c r="Q10" s="271">
        <f t="shared" si="5"/>
        <v>0</v>
      </c>
      <c r="R10" s="281"/>
      <c r="S10" s="280">
        <f t="shared" si="6"/>
        <v>0</v>
      </c>
      <c r="T10" s="271">
        <f t="shared" si="7"/>
        <v>0</v>
      </c>
      <c r="U10" s="281"/>
      <c r="V10" s="280">
        <f t="shared" si="8"/>
        <v>0</v>
      </c>
      <c r="W10" s="271">
        <f t="shared" si="9"/>
        <v>0</v>
      </c>
      <c r="X10" s="281"/>
      <c r="Y10" s="280">
        <f t="shared" si="10"/>
        <v>0</v>
      </c>
      <c r="Z10" s="271">
        <f t="shared" si="11"/>
        <v>0</v>
      </c>
      <c r="AA10" s="281"/>
      <c r="AB10" s="280">
        <f t="shared" si="12"/>
        <v>0</v>
      </c>
      <c r="AC10" s="271">
        <f t="shared" si="13"/>
        <v>0</v>
      </c>
      <c r="AD10" s="281"/>
      <c r="AE10" s="280">
        <f t="shared" si="14"/>
        <v>0</v>
      </c>
      <c r="AF10" s="271">
        <f t="shared" si="15"/>
        <v>0</v>
      </c>
      <c r="AG10" s="281"/>
    </row>
    <row r="11" spans="2:33" ht="12.75" customHeight="1" hidden="1">
      <c r="B11" s="271"/>
      <c r="C11" s="271">
        <f>Inscription!I10</f>
        <v>10</v>
      </c>
      <c r="D11" s="272" t="str">
        <f>Inscription!F10</f>
        <v>x</v>
      </c>
      <c r="E11" s="272">
        <f t="shared" si="16"/>
        <v>1</v>
      </c>
      <c r="F11" s="272">
        <f>Inscription!G10</f>
        <v>0</v>
      </c>
      <c r="G11" s="272">
        <f t="shared" si="17"/>
        <v>0</v>
      </c>
      <c r="H11" s="272"/>
      <c r="I11" s="277"/>
      <c r="J11" s="280">
        <f t="shared" si="0"/>
        <v>0</v>
      </c>
      <c r="K11" s="271">
        <f t="shared" si="1"/>
        <v>0</v>
      </c>
      <c r="L11" s="281"/>
      <c r="M11" s="280">
        <f t="shared" si="2"/>
        <v>0</v>
      </c>
      <c r="N11" s="271">
        <f t="shared" si="3"/>
        <v>0</v>
      </c>
      <c r="O11" s="281"/>
      <c r="P11" s="280">
        <f t="shared" si="4"/>
        <v>1</v>
      </c>
      <c r="Q11" s="271">
        <f t="shared" si="5"/>
        <v>0</v>
      </c>
      <c r="R11" s="281"/>
      <c r="S11" s="280">
        <f t="shared" si="6"/>
        <v>0</v>
      </c>
      <c r="T11" s="271">
        <f t="shared" si="7"/>
        <v>0</v>
      </c>
      <c r="U11" s="281"/>
      <c r="V11" s="280">
        <f t="shared" si="8"/>
        <v>0</v>
      </c>
      <c r="W11" s="271">
        <f t="shared" si="9"/>
        <v>0</v>
      </c>
      <c r="X11" s="281"/>
      <c r="Y11" s="280">
        <f t="shared" si="10"/>
        <v>0</v>
      </c>
      <c r="Z11" s="271">
        <f t="shared" si="11"/>
        <v>0</v>
      </c>
      <c r="AA11" s="281"/>
      <c r="AB11" s="280">
        <f t="shared" si="12"/>
        <v>0</v>
      </c>
      <c r="AC11" s="271">
        <f t="shared" si="13"/>
        <v>0</v>
      </c>
      <c r="AD11" s="281"/>
      <c r="AE11" s="280">
        <f t="shared" si="14"/>
        <v>0</v>
      </c>
      <c r="AF11" s="271">
        <f t="shared" si="15"/>
        <v>0</v>
      </c>
      <c r="AG11" s="281"/>
    </row>
    <row r="12" spans="2:33" ht="12.75" customHeight="1" hidden="1">
      <c r="B12" s="271"/>
      <c r="C12" s="271">
        <f>Inscription!I11</f>
        <v>10</v>
      </c>
      <c r="D12" s="272" t="str">
        <f>Inscription!F11</f>
        <v>x</v>
      </c>
      <c r="E12" s="272">
        <f t="shared" si="16"/>
        <v>1</v>
      </c>
      <c r="F12" s="272">
        <f>Inscription!G11</f>
        <v>0</v>
      </c>
      <c r="G12" s="272">
        <f t="shared" si="17"/>
        <v>0</v>
      </c>
      <c r="H12" s="272"/>
      <c r="I12" s="277"/>
      <c r="J12" s="280">
        <f t="shared" si="0"/>
        <v>0</v>
      </c>
      <c r="K12" s="271">
        <f t="shared" si="1"/>
        <v>0</v>
      </c>
      <c r="L12" s="281"/>
      <c r="M12" s="280">
        <f t="shared" si="2"/>
        <v>0</v>
      </c>
      <c r="N12" s="271">
        <f t="shared" si="3"/>
        <v>0</v>
      </c>
      <c r="O12" s="281"/>
      <c r="P12" s="280">
        <f t="shared" si="4"/>
        <v>1</v>
      </c>
      <c r="Q12" s="271">
        <f t="shared" si="5"/>
        <v>0</v>
      </c>
      <c r="R12" s="281"/>
      <c r="S12" s="280">
        <f t="shared" si="6"/>
        <v>0</v>
      </c>
      <c r="T12" s="271">
        <f t="shared" si="7"/>
        <v>0</v>
      </c>
      <c r="U12" s="281"/>
      <c r="V12" s="280">
        <f t="shared" si="8"/>
        <v>0</v>
      </c>
      <c r="W12" s="271">
        <f t="shared" si="9"/>
        <v>0</v>
      </c>
      <c r="X12" s="281"/>
      <c r="Y12" s="280">
        <f t="shared" si="10"/>
        <v>0</v>
      </c>
      <c r="Z12" s="271">
        <f t="shared" si="11"/>
        <v>0</v>
      </c>
      <c r="AA12" s="281"/>
      <c r="AB12" s="280">
        <f t="shared" si="12"/>
        <v>0</v>
      </c>
      <c r="AC12" s="271">
        <f t="shared" si="13"/>
        <v>0</v>
      </c>
      <c r="AD12" s="281"/>
      <c r="AE12" s="280">
        <f t="shared" si="14"/>
        <v>0</v>
      </c>
      <c r="AF12" s="271">
        <f t="shared" si="15"/>
        <v>0</v>
      </c>
      <c r="AG12" s="281"/>
    </row>
    <row r="13" spans="2:33" ht="12.75" customHeight="1" hidden="1">
      <c r="B13" s="271"/>
      <c r="C13" s="271">
        <f>Inscription!I12</f>
        <v>9</v>
      </c>
      <c r="D13" s="272">
        <f>Inscription!F12</f>
        <v>0</v>
      </c>
      <c r="E13" s="272">
        <f t="shared" si="16"/>
        <v>0</v>
      </c>
      <c r="F13" s="272" t="str">
        <f>Inscription!G12</f>
        <v>x</v>
      </c>
      <c r="G13" s="272">
        <f t="shared" si="17"/>
        <v>1</v>
      </c>
      <c r="H13" s="272"/>
      <c r="I13" s="277"/>
      <c r="J13" s="280">
        <f t="shared" si="0"/>
        <v>0</v>
      </c>
      <c r="K13" s="271">
        <f t="shared" si="1"/>
        <v>0</v>
      </c>
      <c r="L13" s="281"/>
      <c r="M13" s="280">
        <f t="shared" si="2"/>
        <v>0</v>
      </c>
      <c r="N13" s="271">
        <f t="shared" si="3"/>
        <v>1</v>
      </c>
      <c r="O13" s="281"/>
      <c r="P13" s="280">
        <f t="shared" si="4"/>
        <v>0</v>
      </c>
      <c r="Q13" s="271">
        <f t="shared" si="5"/>
        <v>0</v>
      </c>
      <c r="R13" s="281"/>
      <c r="S13" s="280">
        <f t="shared" si="6"/>
        <v>0</v>
      </c>
      <c r="T13" s="271">
        <f t="shared" si="7"/>
        <v>0</v>
      </c>
      <c r="U13" s="281"/>
      <c r="V13" s="280">
        <f t="shared" si="8"/>
        <v>0</v>
      </c>
      <c r="W13" s="271">
        <f t="shared" si="9"/>
        <v>0</v>
      </c>
      <c r="X13" s="281"/>
      <c r="Y13" s="280">
        <f t="shared" si="10"/>
        <v>0</v>
      </c>
      <c r="Z13" s="271">
        <f t="shared" si="11"/>
        <v>0</v>
      </c>
      <c r="AA13" s="281"/>
      <c r="AB13" s="280">
        <f t="shared" si="12"/>
        <v>0</v>
      </c>
      <c r="AC13" s="271">
        <f t="shared" si="13"/>
        <v>0</v>
      </c>
      <c r="AD13" s="281"/>
      <c r="AE13" s="280">
        <f t="shared" si="14"/>
        <v>0</v>
      </c>
      <c r="AF13" s="271">
        <f t="shared" si="15"/>
        <v>0</v>
      </c>
      <c r="AG13" s="281"/>
    </row>
    <row r="14" spans="2:33" ht="12.75" customHeight="1" hidden="1">
      <c r="B14" s="271"/>
      <c r="C14" s="271">
        <f>Inscription!I13</f>
        <v>9</v>
      </c>
      <c r="D14" s="272">
        <f>Inscription!F13</f>
        <v>0</v>
      </c>
      <c r="E14" s="272">
        <f t="shared" si="16"/>
        <v>0</v>
      </c>
      <c r="F14" s="272" t="str">
        <f>Inscription!G13</f>
        <v>x</v>
      </c>
      <c r="G14" s="272">
        <f t="shared" si="17"/>
        <v>1</v>
      </c>
      <c r="H14" s="272"/>
      <c r="I14" s="277"/>
      <c r="J14" s="280">
        <f t="shared" si="0"/>
        <v>0</v>
      </c>
      <c r="K14" s="271">
        <f t="shared" si="1"/>
        <v>0</v>
      </c>
      <c r="L14" s="281"/>
      <c r="M14" s="280">
        <f t="shared" si="2"/>
        <v>0</v>
      </c>
      <c r="N14" s="271">
        <f t="shared" si="3"/>
        <v>1</v>
      </c>
      <c r="O14" s="281"/>
      <c r="P14" s="280">
        <f t="shared" si="4"/>
        <v>0</v>
      </c>
      <c r="Q14" s="271">
        <f t="shared" si="5"/>
        <v>0</v>
      </c>
      <c r="R14" s="281"/>
      <c r="S14" s="280">
        <f t="shared" si="6"/>
        <v>0</v>
      </c>
      <c r="T14" s="271">
        <f t="shared" si="7"/>
        <v>0</v>
      </c>
      <c r="U14" s="281"/>
      <c r="V14" s="280">
        <f t="shared" si="8"/>
        <v>0</v>
      </c>
      <c r="W14" s="271">
        <f t="shared" si="9"/>
        <v>0</v>
      </c>
      <c r="X14" s="281"/>
      <c r="Y14" s="280">
        <f t="shared" si="10"/>
        <v>0</v>
      </c>
      <c r="Z14" s="271">
        <f t="shared" si="11"/>
        <v>0</v>
      </c>
      <c r="AA14" s="281"/>
      <c r="AB14" s="280">
        <f t="shared" si="12"/>
        <v>0</v>
      </c>
      <c r="AC14" s="271">
        <f t="shared" si="13"/>
        <v>0</v>
      </c>
      <c r="AD14" s="281"/>
      <c r="AE14" s="280">
        <f t="shared" si="14"/>
        <v>0</v>
      </c>
      <c r="AF14" s="271">
        <f t="shared" si="15"/>
        <v>0</v>
      </c>
      <c r="AG14" s="281"/>
    </row>
    <row r="15" spans="2:33" ht="12.75" customHeight="1" hidden="1">
      <c r="B15" s="271"/>
      <c r="C15" s="271">
        <f>Inscription!I14</f>
        <v>9</v>
      </c>
      <c r="D15" s="272">
        <f>Inscription!F14</f>
        <v>0</v>
      </c>
      <c r="E15" s="272">
        <f t="shared" si="16"/>
        <v>0</v>
      </c>
      <c r="F15" s="272" t="str">
        <f>Inscription!G14</f>
        <v>x</v>
      </c>
      <c r="G15" s="272">
        <f t="shared" si="17"/>
        <v>1</v>
      </c>
      <c r="H15" s="272"/>
      <c r="I15" s="277"/>
      <c r="J15" s="280">
        <f t="shared" si="0"/>
        <v>0</v>
      </c>
      <c r="K15" s="271">
        <f t="shared" si="1"/>
        <v>0</v>
      </c>
      <c r="L15" s="281"/>
      <c r="M15" s="280">
        <f t="shared" si="2"/>
        <v>0</v>
      </c>
      <c r="N15" s="271">
        <f t="shared" si="3"/>
        <v>1</v>
      </c>
      <c r="O15" s="281"/>
      <c r="P15" s="280">
        <f t="shared" si="4"/>
        <v>0</v>
      </c>
      <c r="Q15" s="271">
        <f t="shared" si="5"/>
        <v>0</v>
      </c>
      <c r="R15" s="281"/>
      <c r="S15" s="280">
        <f t="shared" si="6"/>
        <v>0</v>
      </c>
      <c r="T15" s="271">
        <f t="shared" si="7"/>
        <v>0</v>
      </c>
      <c r="U15" s="281"/>
      <c r="V15" s="280">
        <f t="shared" si="8"/>
        <v>0</v>
      </c>
      <c r="W15" s="271">
        <f t="shared" si="9"/>
        <v>0</v>
      </c>
      <c r="X15" s="281"/>
      <c r="Y15" s="280">
        <f t="shared" si="10"/>
        <v>0</v>
      </c>
      <c r="Z15" s="271">
        <f t="shared" si="11"/>
        <v>0</v>
      </c>
      <c r="AA15" s="281"/>
      <c r="AB15" s="280">
        <f t="shared" si="12"/>
        <v>0</v>
      </c>
      <c r="AC15" s="271">
        <f t="shared" si="13"/>
        <v>0</v>
      </c>
      <c r="AD15" s="281"/>
      <c r="AE15" s="280">
        <f t="shared" si="14"/>
        <v>0</v>
      </c>
      <c r="AF15" s="271">
        <f t="shared" si="15"/>
        <v>0</v>
      </c>
      <c r="AG15" s="281"/>
    </row>
    <row r="16" spans="2:33" ht="12.75" customHeight="1" hidden="1">
      <c r="B16" s="271"/>
      <c r="C16" s="271">
        <f>Inscription!I15</f>
        <v>11</v>
      </c>
      <c r="D16" s="272" t="str">
        <f>Inscription!F15</f>
        <v>x</v>
      </c>
      <c r="E16" s="272">
        <f t="shared" si="16"/>
        <v>1</v>
      </c>
      <c r="F16" s="272">
        <f>Inscription!G15</f>
        <v>0</v>
      </c>
      <c r="G16" s="272">
        <f t="shared" si="17"/>
        <v>0</v>
      </c>
      <c r="H16" s="272"/>
      <c r="I16" s="277"/>
      <c r="J16" s="280">
        <f t="shared" si="0"/>
        <v>0</v>
      </c>
      <c r="K16" s="271">
        <f t="shared" si="1"/>
        <v>0</v>
      </c>
      <c r="L16" s="281"/>
      <c r="M16" s="280">
        <f t="shared" si="2"/>
        <v>0</v>
      </c>
      <c r="N16" s="271">
        <f t="shared" si="3"/>
        <v>0</v>
      </c>
      <c r="O16" s="281"/>
      <c r="P16" s="280">
        <f t="shared" si="4"/>
        <v>0</v>
      </c>
      <c r="Q16" s="271">
        <f t="shared" si="5"/>
        <v>0</v>
      </c>
      <c r="R16" s="281"/>
      <c r="S16" s="280">
        <f t="shared" si="6"/>
        <v>1</v>
      </c>
      <c r="T16" s="271">
        <f t="shared" si="7"/>
        <v>0</v>
      </c>
      <c r="U16" s="281"/>
      <c r="V16" s="280">
        <f t="shared" si="8"/>
        <v>0</v>
      </c>
      <c r="W16" s="271">
        <f t="shared" si="9"/>
        <v>0</v>
      </c>
      <c r="X16" s="281"/>
      <c r="Y16" s="280">
        <f t="shared" si="10"/>
        <v>0</v>
      </c>
      <c r="Z16" s="271">
        <f t="shared" si="11"/>
        <v>0</v>
      </c>
      <c r="AA16" s="281"/>
      <c r="AB16" s="280">
        <f t="shared" si="12"/>
        <v>0</v>
      </c>
      <c r="AC16" s="271">
        <f t="shared" si="13"/>
        <v>0</v>
      </c>
      <c r="AD16" s="281"/>
      <c r="AE16" s="280">
        <f t="shared" si="14"/>
        <v>0</v>
      </c>
      <c r="AF16" s="271">
        <f t="shared" si="15"/>
        <v>0</v>
      </c>
      <c r="AG16" s="281"/>
    </row>
    <row r="17" spans="2:33" ht="12.75" customHeight="1" hidden="1">
      <c r="B17" s="271"/>
      <c r="C17" s="271">
        <f>Inscription!I16</f>
        <v>12</v>
      </c>
      <c r="D17" s="272" t="str">
        <f>Inscription!F16</f>
        <v>x</v>
      </c>
      <c r="E17" s="272">
        <f t="shared" si="16"/>
        <v>1</v>
      </c>
      <c r="F17" s="272">
        <f>Inscription!G16</f>
        <v>0</v>
      </c>
      <c r="G17" s="272">
        <f t="shared" si="17"/>
        <v>0</v>
      </c>
      <c r="H17" s="272"/>
      <c r="I17" s="277"/>
      <c r="J17" s="280">
        <f t="shared" si="0"/>
        <v>0</v>
      </c>
      <c r="K17" s="271">
        <f t="shared" si="1"/>
        <v>0</v>
      </c>
      <c r="L17" s="281"/>
      <c r="M17" s="280">
        <f t="shared" si="2"/>
        <v>0</v>
      </c>
      <c r="N17" s="271">
        <f t="shared" si="3"/>
        <v>0</v>
      </c>
      <c r="O17" s="281"/>
      <c r="P17" s="280">
        <f t="shared" si="4"/>
        <v>0</v>
      </c>
      <c r="Q17" s="271">
        <f t="shared" si="5"/>
        <v>0</v>
      </c>
      <c r="R17" s="281"/>
      <c r="S17" s="280">
        <f t="shared" si="6"/>
        <v>0</v>
      </c>
      <c r="T17" s="271">
        <f t="shared" si="7"/>
        <v>0</v>
      </c>
      <c r="U17" s="281"/>
      <c r="V17" s="280">
        <f t="shared" si="8"/>
        <v>1</v>
      </c>
      <c r="W17" s="271">
        <f t="shared" si="9"/>
        <v>0</v>
      </c>
      <c r="X17" s="281"/>
      <c r="Y17" s="280">
        <f t="shared" si="10"/>
        <v>0</v>
      </c>
      <c r="Z17" s="271">
        <f t="shared" si="11"/>
        <v>0</v>
      </c>
      <c r="AA17" s="281"/>
      <c r="AB17" s="280">
        <f t="shared" si="12"/>
        <v>0</v>
      </c>
      <c r="AC17" s="271">
        <f t="shared" si="13"/>
        <v>0</v>
      </c>
      <c r="AD17" s="281"/>
      <c r="AE17" s="280">
        <f t="shared" si="14"/>
        <v>0</v>
      </c>
      <c r="AF17" s="271">
        <f t="shared" si="15"/>
        <v>0</v>
      </c>
      <c r="AG17" s="281"/>
    </row>
    <row r="18" spans="2:33" ht="12.75" customHeight="1" hidden="1">
      <c r="B18" s="271"/>
      <c r="C18" s="271">
        <f>Inscription!I17</f>
        <v>12</v>
      </c>
      <c r="D18" s="272" t="str">
        <f>Inscription!F17</f>
        <v>x</v>
      </c>
      <c r="E18" s="272">
        <f t="shared" si="16"/>
        <v>1</v>
      </c>
      <c r="F18" s="272">
        <f>Inscription!G17</f>
        <v>0</v>
      </c>
      <c r="G18" s="272">
        <f t="shared" si="17"/>
        <v>0</v>
      </c>
      <c r="H18" s="272"/>
      <c r="I18" s="277"/>
      <c r="J18" s="280">
        <f t="shared" si="0"/>
        <v>0</v>
      </c>
      <c r="K18" s="271">
        <f t="shared" si="1"/>
        <v>0</v>
      </c>
      <c r="L18" s="281"/>
      <c r="M18" s="280">
        <f t="shared" si="2"/>
        <v>0</v>
      </c>
      <c r="N18" s="271">
        <f t="shared" si="3"/>
        <v>0</v>
      </c>
      <c r="O18" s="281"/>
      <c r="P18" s="280">
        <f t="shared" si="4"/>
        <v>0</v>
      </c>
      <c r="Q18" s="271">
        <f t="shared" si="5"/>
        <v>0</v>
      </c>
      <c r="R18" s="281"/>
      <c r="S18" s="280">
        <f t="shared" si="6"/>
        <v>0</v>
      </c>
      <c r="T18" s="271">
        <f t="shared" si="7"/>
        <v>0</v>
      </c>
      <c r="U18" s="281"/>
      <c r="V18" s="280">
        <f t="shared" si="8"/>
        <v>1</v>
      </c>
      <c r="W18" s="271">
        <f t="shared" si="9"/>
        <v>0</v>
      </c>
      <c r="X18" s="281"/>
      <c r="Y18" s="280">
        <f t="shared" si="10"/>
        <v>0</v>
      </c>
      <c r="Z18" s="271">
        <f t="shared" si="11"/>
        <v>0</v>
      </c>
      <c r="AA18" s="281"/>
      <c r="AB18" s="280">
        <f t="shared" si="12"/>
        <v>0</v>
      </c>
      <c r="AC18" s="271">
        <f t="shared" si="13"/>
        <v>0</v>
      </c>
      <c r="AD18" s="281"/>
      <c r="AE18" s="280">
        <f t="shared" si="14"/>
        <v>0</v>
      </c>
      <c r="AF18" s="271">
        <f t="shared" si="15"/>
        <v>0</v>
      </c>
      <c r="AG18" s="281"/>
    </row>
    <row r="19" spans="2:33" ht="12.75" customHeight="1" hidden="1">
      <c r="B19" s="271"/>
      <c r="C19" s="271" t="str">
        <f>Inscription!I18</f>
        <v>?</v>
      </c>
      <c r="D19" s="272">
        <f>Inscription!F18</f>
        <v>0</v>
      </c>
      <c r="E19" s="272">
        <f t="shared" si="16"/>
        <v>0</v>
      </c>
      <c r="F19" s="272">
        <f>Inscription!G18</f>
        <v>0</v>
      </c>
      <c r="G19" s="272">
        <f t="shared" si="17"/>
        <v>0</v>
      </c>
      <c r="H19" s="272"/>
      <c r="I19" s="277"/>
      <c r="J19" s="280">
        <f t="shared" si="0"/>
        <v>0</v>
      </c>
      <c r="K19" s="271">
        <f t="shared" si="1"/>
        <v>0</v>
      </c>
      <c r="L19" s="281"/>
      <c r="M19" s="280">
        <f t="shared" si="2"/>
        <v>0</v>
      </c>
      <c r="N19" s="271">
        <f t="shared" si="3"/>
        <v>0</v>
      </c>
      <c r="O19" s="281"/>
      <c r="P19" s="280">
        <f t="shared" si="4"/>
        <v>0</v>
      </c>
      <c r="Q19" s="271">
        <f t="shared" si="5"/>
        <v>0</v>
      </c>
      <c r="R19" s="281"/>
      <c r="S19" s="280">
        <f t="shared" si="6"/>
        <v>0</v>
      </c>
      <c r="T19" s="271">
        <f t="shared" si="7"/>
        <v>0</v>
      </c>
      <c r="U19" s="281"/>
      <c r="V19" s="280">
        <f t="shared" si="8"/>
        <v>0</v>
      </c>
      <c r="W19" s="271">
        <f t="shared" si="9"/>
        <v>0</v>
      </c>
      <c r="X19" s="281"/>
      <c r="Y19" s="280">
        <f t="shared" si="10"/>
        <v>0</v>
      </c>
      <c r="Z19" s="271">
        <f t="shared" si="11"/>
        <v>0</v>
      </c>
      <c r="AA19" s="281"/>
      <c r="AB19" s="280">
        <f t="shared" si="12"/>
        <v>0</v>
      </c>
      <c r="AC19" s="271">
        <f t="shared" si="13"/>
        <v>0</v>
      </c>
      <c r="AD19" s="281"/>
      <c r="AE19" s="280">
        <f t="shared" si="14"/>
        <v>0</v>
      </c>
      <c r="AF19" s="271">
        <f t="shared" si="15"/>
        <v>0</v>
      </c>
      <c r="AG19" s="281"/>
    </row>
    <row r="20" spans="2:33" ht="12.75" customHeight="1" hidden="1">
      <c r="B20" s="271"/>
      <c r="C20" s="271" t="str">
        <f>Inscription!I19</f>
        <v>?</v>
      </c>
      <c r="D20" s="272">
        <f>Inscription!F19</f>
        <v>0</v>
      </c>
      <c r="E20" s="272">
        <f t="shared" si="16"/>
        <v>0</v>
      </c>
      <c r="F20" s="272">
        <f>Inscription!G19</f>
        <v>0</v>
      </c>
      <c r="G20" s="272">
        <f t="shared" si="17"/>
        <v>0</v>
      </c>
      <c r="H20" s="272"/>
      <c r="I20" s="277"/>
      <c r="J20" s="280">
        <f t="shared" si="0"/>
        <v>0</v>
      </c>
      <c r="K20" s="271">
        <f t="shared" si="1"/>
        <v>0</v>
      </c>
      <c r="L20" s="281"/>
      <c r="M20" s="280">
        <f t="shared" si="2"/>
        <v>0</v>
      </c>
      <c r="N20" s="271">
        <f t="shared" si="3"/>
        <v>0</v>
      </c>
      <c r="O20" s="281"/>
      <c r="P20" s="280">
        <f t="shared" si="4"/>
        <v>0</v>
      </c>
      <c r="Q20" s="271">
        <f t="shared" si="5"/>
        <v>0</v>
      </c>
      <c r="R20" s="281"/>
      <c r="S20" s="280">
        <f t="shared" si="6"/>
        <v>0</v>
      </c>
      <c r="T20" s="271">
        <f t="shared" si="7"/>
        <v>0</v>
      </c>
      <c r="U20" s="281"/>
      <c r="V20" s="280">
        <f t="shared" si="8"/>
        <v>0</v>
      </c>
      <c r="W20" s="271">
        <f t="shared" si="9"/>
        <v>0</v>
      </c>
      <c r="X20" s="281"/>
      <c r="Y20" s="280">
        <f t="shared" si="10"/>
        <v>0</v>
      </c>
      <c r="Z20" s="271">
        <f t="shared" si="11"/>
        <v>0</v>
      </c>
      <c r="AA20" s="281"/>
      <c r="AB20" s="280">
        <f t="shared" si="12"/>
        <v>0</v>
      </c>
      <c r="AC20" s="271">
        <f t="shared" si="13"/>
        <v>0</v>
      </c>
      <c r="AD20" s="281"/>
      <c r="AE20" s="280">
        <f t="shared" si="14"/>
        <v>0</v>
      </c>
      <c r="AF20" s="271">
        <f t="shared" si="15"/>
        <v>0</v>
      </c>
      <c r="AG20" s="281"/>
    </row>
    <row r="21" spans="2:33" ht="12.75" customHeight="1" hidden="1">
      <c r="B21" s="271"/>
      <c r="C21" s="271" t="str">
        <f>Inscription!I20</f>
        <v>?</v>
      </c>
      <c r="D21" s="272">
        <f>Inscription!F20</f>
        <v>0</v>
      </c>
      <c r="E21" s="272">
        <f t="shared" si="16"/>
        <v>0</v>
      </c>
      <c r="F21" s="272">
        <f>Inscription!G20</f>
        <v>0</v>
      </c>
      <c r="G21" s="272">
        <f t="shared" si="17"/>
        <v>0</v>
      </c>
      <c r="H21" s="272"/>
      <c r="I21" s="277"/>
      <c r="J21" s="280">
        <f t="shared" si="0"/>
        <v>0</v>
      </c>
      <c r="K21" s="271">
        <f t="shared" si="1"/>
        <v>0</v>
      </c>
      <c r="L21" s="281"/>
      <c r="M21" s="280">
        <f t="shared" si="2"/>
        <v>0</v>
      </c>
      <c r="N21" s="271">
        <f t="shared" si="3"/>
        <v>0</v>
      </c>
      <c r="O21" s="281"/>
      <c r="P21" s="280">
        <f t="shared" si="4"/>
        <v>0</v>
      </c>
      <c r="Q21" s="271">
        <f t="shared" si="5"/>
        <v>0</v>
      </c>
      <c r="R21" s="281"/>
      <c r="S21" s="280">
        <f t="shared" si="6"/>
        <v>0</v>
      </c>
      <c r="T21" s="271">
        <f t="shared" si="7"/>
        <v>0</v>
      </c>
      <c r="U21" s="281"/>
      <c r="V21" s="280">
        <f t="shared" si="8"/>
        <v>0</v>
      </c>
      <c r="W21" s="271">
        <f t="shared" si="9"/>
        <v>0</v>
      </c>
      <c r="X21" s="281"/>
      <c r="Y21" s="280">
        <f t="shared" si="10"/>
        <v>0</v>
      </c>
      <c r="Z21" s="271">
        <f t="shared" si="11"/>
        <v>0</v>
      </c>
      <c r="AA21" s="281"/>
      <c r="AB21" s="280">
        <f t="shared" si="12"/>
        <v>0</v>
      </c>
      <c r="AC21" s="271">
        <f t="shared" si="13"/>
        <v>0</v>
      </c>
      <c r="AD21" s="281"/>
      <c r="AE21" s="280">
        <f t="shared" si="14"/>
        <v>0</v>
      </c>
      <c r="AF21" s="271">
        <f t="shared" si="15"/>
        <v>0</v>
      </c>
      <c r="AG21" s="281"/>
    </row>
    <row r="22" spans="2:33" ht="12.75" customHeight="1" hidden="1">
      <c r="B22" s="271"/>
      <c r="C22" s="271">
        <f>Inscription!I21</f>
        <v>9</v>
      </c>
      <c r="D22" s="272" t="str">
        <f>Inscription!F21</f>
        <v>x</v>
      </c>
      <c r="E22" s="272">
        <f t="shared" si="16"/>
        <v>1</v>
      </c>
      <c r="F22" s="272">
        <f>Inscription!G21</f>
        <v>0</v>
      </c>
      <c r="G22" s="272">
        <f t="shared" si="17"/>
        <v>0</v>
      </c>
      <c r="H22" s="272"/>
      <c r="I22" s="277"/>
      <c r="J22" s="280">
        <f t="shared" si="0"/>
        <v>0</v>
      </c>
      <c r="K22" s="271">
        <f t="shared" si="1"/>
        <v>0</v>
      </c>
      <c r="L22" s="281"/>
      <c r="M22" s="280">
        <f t="shared" si="2"/>
        <v>1</v>
      </c>
      <c r="N22" s="271">
        <f t="shared" si="3"/>
        <v>0</v>
      </c>
      <c r="O22" s="281"/>
      <c r="P22" s="280">
        <f t="shared" si="4"/>
        <v>0</v>
      </c>
      <c r="Q22" s="271">
        <f t="shared" si="5"/>
        <v>0</v>
      </c>
      <c r="R22" s="281"/>
      <c r="S22" s="280">
        <f t="shared" si="6"/>
        <v>0</v>
      </c>
      <c r="T22" s="271">
        <f t="shared" si="7"/>
        <v>0</v>
      </c>
      <c r="U22" s="281"/>
      <c r="V22" s="280">
        <f t="shared" si="8"/>
        <v>0</v>
      </c>
      <c r="W22" s="271">
        <f t="shared" si="9"/>
        <v>0</v>
      </c>
      <c r="X22" s="281"/>
      <c r="Y22" s="280">
        <f t="shared" si="10"/>
        <v>0</v>
      </c>
      <c r="Z22" s="271">
        <f t="shared" si="11"/>
        <v>0</v>
      </c>
      <c r="AA22" s="281"/>
      <c r="AB22" s="280">
        <f t="shared" si="12"/>
        <v>0</v>
      </c>
      <c r="AC22" s="271">
        <f t="shared" si="13"/>
        <v>0</v>
      </c>
      <c r="AD22" s="281"/>
      <c r="AE22" s="280">
        <f t="shared" si="14"/>
        <v>0</v>
      </c>
      <c r="AF22" s="271">
        <f t="shared" si="15"/>
        <v>0</v>
      </c>
      <c r="AG22" s="281"/>
    </row>
    <row r="23" spans="2:33" ht="12.75" customHeight="1" hidden="1">
      <c r="B23" s="271"/>
      <c r="C23" s="271">
        <f>Inscription!I22</f>
        <v>11</v>
      </c>
      <c r="D23" s="272" t="str">
        <f>Inscription!F22</f>
        <v>x</v>
      </c>
      <c r="E23" s="272">
        <f t="shared" si="16"/>
        <v>1</v>
      </c>
      <c r="F23" s="272">
        <f>Inscription!G22</f>
        <v>0</v>
      </c>
      <c r="G23" s="272">
        <f t="shared" si="17"/>
        <v>0</v>
      </c>
      <c r="H23" s="272"/>
      <c r="I23" s="277"/>
      <c r="J23" s="280">
        <f t="shared" si="0"/>
        <v>0</v>
      </c>
      <c r="K23" s="271">
        <f t="shared" si="1"/>
        <v>0</v>
      </c>
      <c r="L23" s="281"/>
      <c r="M23" s="280">
        <f t="shared" si="2"/>
        <v>0</v>
      </c>
      <c r="N23" s="271">
        <f t="shared" si="3"/>
        <v>0</v>
      </c>
      <c r="O23" s="281"/>
      <c r="P23" s="280">
        <f t="shared" si="4"/>
        <v>0</v>
      </c>
      <c r="Q23" s="271">
        <f t="shared" si="5"/>
        <v>0</v>
      </c>
      <c r="R23" s="281"/>
      <c r="S23" s="280">
        <f t="shared" si="6"/>
        <v>1</v>
      </c>
      <c r="T23" s="271">
        <f t="shared" si="7"/>
        <v>0</v>
      </c>
      <c r="U23" s="281"/>
      <c r="V23" s="280">
        <f t="shared" si="8"/>
        <v>0</v>
      </c>
      <c r="W23" s="271">
        <f t="shared" si="9"/>
        <v>0</v>
      </c>
      <c r="X23" s="281"/>
      <c r="Y23" s="280">
        <f t="shared" si="10"/>
        <v>0</v>
      </c>
      <c r="Z23" s="271">
        <f t="shared" si="11"/>
        <v>0</v>
      </c>
      <c r="AA23" s="281"/>
      <c r="AB23" s="280">
        <f t="shared" si="12"/>
        <v>0</v>
      </c>
      <c r="AC23" s="271">
        <f t="shared" si="13"/>
        <v>0</v>
      </c>
      <c r="AD23" s="281"/>
      <c r="AE23" s="280">
        <f t="shared" si="14"/>
        <v>0</v>
      </c>
      <c r="AF23" s="271">
        <f t="shared" si="15"/>
        <v>0</v>
      </c>
      <c r="AG23" s="281"/>
    </row>
    <row r="24" spans="2:33" ht="12.75" customHeight="1" hidden="1">
      <c r="B24" s="271"/>
      <c r="C24" s="271">
        <f>Inscription!I23</f>
        <v>9</v>
      </c>
      <c r="D24" s="272" t="str">
        <f>Inscription!F23</f>
        <v>x</v>
      </c>
      <c r="E24" s="272">
        <f t="shared" si="16"/>
        <v>1</v>
      </c>
      <c r="F24" s="272">
        <f>Inscription!G23</f>
        <v>0</v>
      </c>
      <c r="G24" s="272">
        <f t="shared" si="17"/>
        <v>0</v>
      </c>
      <c r="H24" s="272"/>
      <c r="I24" s="277"/>
      <c r="J24" s="280">
        <f t="shared" si="0"/>
        <v>0</v>
      </c>
      <c r="K24" s="271">
        <f t="shared" si="1"/>
        <v>0</v>
      </c>
      <c r="L24" s="281"/>
      <c r="M24" s="280">
        <f t="shared" si="2"/>
        <v>1</v>
      </c>
      <c r="N24" s="271">
        <f t="shared" si="3"/>
        <v>0</v>
      </c>
      <c r="O24" s="281"/>
      <c r="P24" s="280">
        <f t="shared" si="4"/>
        <v>0</v>
      </c>
      <c r="Q24" s="271">
        <f t="shared" si="5"/>
        <v>0</v>
      </c>
      <c r="R24" s="281"/>
      <c r="S24" s="280">
        <f t="shared" si="6"/>
        <v>0</v>
      </c>
      <c r="T24" s="271">
        <f t="shared" si="7"/>
        <v>0</v>
      </c>
      <c r="U24" s="281"/>
      <c r="V24" s="280">
        <f t="shared" si="8"/>
        <v>0</v>
      </c>
      <c r="W24" s="271">
        <f t="shared" si="9"/>
        <v>0</v>
      </c>
      <c r="X24" s="281"/>
      <c r="Y24" s="280">
        <f t="shared" si="10"/>
        <v>0</v>
      </c>
      <c r="Z24" s="271">
        <f t="shared" si="11"/>
        <v>0</v>
      </c>
      <c r="AA24" s="281"/>
      <c r="AB24" s="280">
        <f t="shared" si="12"/>
        <v>0</v>
      </c>
      <c r="AC24" s="271">
        <f t="shared" si="13"/>
        <v>0</v>
      </c>
      <c r="AD24" s="281"/>
      <c r="AE24" s="280">
        <f t="shared" si="14"/>
        <v>0</v>
      </c>
      <c r="AF24" s="271">
        <f t="shared" si="15"/>
        <v>0</v>
      </c>
      <c r="AG24" s="281"/>
    </row>
    <row r="25" spans="2:33" ht="12.75" customHeight="1" hidden="1">
      <c r="B25" s="271"/>
      <c r="C25" s="271">
        <f>Inscription!I24</f>
        <v>8</v>
      </c>
      <c r="D25" s="272">
        <f>Inscription!F24</f>
        <v>0</v>
      </c>
      <c r="E25" s="272">
        <f t="shared" si="16"/>
        <v>0</v>
      </c>
      <c r="F25" s="272" t="str">
        <f>Inscription!G24</f>
        <v>x</v>
      </c>
      <c r="G25" s="272">
        <f t="shared" si="17"/>
        <v>1</v>
      </c>
      <c r="H25" s="272"/>
      <c r="I25" s="277"/>
      <c r="J25" s="280">
        <f t="shared" si="0"/>
        <v>0</v>
      </c>
      <c r="K25" s="271">
        <f t="shared" si="1"/>
        <v>1</v>
      </c>
      <c r="L25" s="281"/>
      <c r="M25" s="280">
        <f t="shared" si="2"/>
        <v>0</v>
      </c>
      <c r="N25" s="271">
        <f t="shared" si="3"/>
        <v>0</v>
      </c>
      <c r="O25" s="281"/>
      <c r="P25" s="280">
        <f t="shared" si="4"/>
        <v>0</v>
      </c>
      <c r="Q25" s="271">
        <f t="shared" si="5"/>
        <v>0</v>
      </c>
      <c r="R25" s="281"/>
      <c r="S25" s="280">
        <f t="shared" si="6"/>
        <v>0</v>
      </c>
      <c r="T25" s="271">
        <f t="shared" si="7"/>
        <v>0</v>
      </c>
      <c r="U25" s="281"/>
      <c r="V25" s="280">
        <f t="shared" si="8"/>
        <v>0</v>
      </c>
      <c r="W25" s="271">
        <f t="shared" si="9"/>
        <v>0</v>
      </c>
      <c r="X25" s="281"/>
      <c r="Y25" s="280">
        <f t="shared" si="10"/>
        <v>0</v>
      </c>
      <c r="Z25" s="271">
        <f t="shared" si="11"/>
        <v>0</v>
      </c>
      <c r="AA25" s="281"/>
      <c r="AB25" s="280">
        <f t="shared" si="12"/>
        <v>0</v>
      </c>
      <c r="AC25" s="271">
        <f t="shared" si="13"/>
        <v>0</v>
      </c>
      <c r="AD25" s="281"/>
      <c r="AE25" s="280">
        <f t="shared" si="14"/>
        <v>0</v>
      </c>
      <c r="AF25" s="271">
        <f t="shared" si="15"/>
        <v>0</v>
      </c>
      <c r="AG25" s="281"/>
    </row>
    <row r="26" spans="2:33" ht="12.75" customHeight="1" hidden="1">
      <c r="B26" s="271"/>
      <c r="C26" s="271">
        <f>Inscription!I25</f>
        <v>8</v>
      </c>
      <c r="D26" s="272">
        <f>Inscription!F25</f>
        <v>0</v>
      </c>
      <c r="E26" s="272">
        <f t="shared" si="16"/>
        <v>0</v>
      </c>
      <c r="F26" s="272" t="str">
        <f>Inscription!G25</f>
        <v>x</v>
      </c>
      <c r="G26" s="272">
        <f t="shared" si="17"/>
        <v>1</v>
      </c>
      <c r="H26" s="272"/>
      <c r="I26" s="277"/>
      <c r="J26" s="280">
        <f t="shared" si="0"/>
        <v>0</v>
      </c>
      <c r="K26" s="271">
        <f t="shared" si="1"/>
        <v>1</v>
      </c>
      <c r="L26" s="281"/>
      <c r="M26" s="280">
        <f t="shared" si="2"/>
        <v>0</v>
      </c>
      <c r="N26" s="271">
        <f t="shared" si="3"/>
        <v>0</v>
      </c>
      <c r="O26" s="281"/>
      <c r="P26" s="280">
        <f t="shared" si="4"/>
        <v>0</v>
      </c>
      <c r="Q26" s="271">
        <f t="shared" si="5"/>
        <v>0</v>
      </c>
      <c r="R26" s="281"/>
      <c r="S26" s="280">
        <f t="shared" si="6"/>
        <v>0</v>
      </c>
      <c r="T26" s="271">
        <f t="shared" si="7"/>
        <v>0</v>
      </c>
      <c r="U26" s="281"/>
      <c r="V26" s="280">
        <f t="shared" si="8"/>
        <v>0</v>
      </c>
      <c r="W26" s="271">
        <f t="shared" si="9"/>
        <v>0</v>
      </c>
      <c r="X26" s="281"/>
      <c r="Y26" s="280">
        <f t="shared" si="10"/>
        <v>0</v>
      </c>
      <c r="Z26" s="271">
        <f t="shared" si="11"/>
        <v>0</v>
      </c>
      <c r="AA26" s="281"/>
      <c r="AB26" s="280">
        <f t="shared" si="12"/>
        <v>0</v>
      </c>
      <c r="AC26" s="271">
        <f t="shared" si="13"/>
        <v>0</v>
      </c>
      <c r="AD26" s="281"/>
      <c r="AE26" s="280">
        <f t="shared" si="14"/>
        <v>0</v>
      </c>
      <c r="AF26" s="271">
        <f t="shared" si="15"/>
        <v>0</v>
      </c>
      <c r="AG26" s="281"/>
    </row>
    <row r="27" spans="2:33" ht="12.75" customHeight="1" hidden="1">
      <c r="B27" s="271"/>
      <c r="C27" s="271">
        <f>Inscription!I26</f>
        <v>9</v>
      </c>
      <c r="D27" s="272" t="str">
        <f>Inscription!F26</f>
        <v>x</v>
      </c>
      <c r="E27" s="272">
        <f t="shared" si="16"/>
        <v>1</v>
      </c>
      <c r="F27" s="272">
        <f>Inscription!G26</f>
        <v>0</v>
      </c>
      <c r="G27" s="272">
        <f t="shared" si="17"/>
        <v>0</v>
      </c>
      <c r="H27" s="272"/>
      <c r="I27" s="277"/>
      <c r="J27" s="280">
        <f t="shared" si="0"/>
        <v>0</v>
      </c>
      <c r="K27" s="271">
        <f t="shared" si="1"/>
        <v>0</v>
      </c>
      <c r="L27" s="281"/>
      <c r="M27" s="280">
        <f t="shared" si="2"/>
        <v>1</v>
      </c>
      <c r="N27" s="271">
        <f t="shared" si="3"/>
        <v>0</v>
      </c>
      <c r="O27" s="281"/>
      <c r="P27" s="280">
        <f t="shared" si="4"/>
        <v>0</v>
      </c>
      <c r="Q27" s="271">
        <f t="shared" si="5"/>
        <v>0</v>
      </c>
      <c r="R27" s="281"/>
      <c r="S27" s="280">
        <f t="shared" si="6"/>
        <v>0</v>
      </c>
      <c r="T27" s="271">
        <f t="shared" si="7"/>
        <v>0</v>
      </c>
      <c r="U27" s="281"/>
      <c r="V27" s="280">
        <f t="shared" si="8"/>
        <v>0</v>
      </c>
      <c r="W27" s="271">
        <f t="shared" si="9"/>
        <v>0</v>
      </c>
      <c r="X27" s="281"/>
      <c r="Y27" s="280">
        <f t="shared" si="10"/>
        <v>0</v>
      </c>
      <c r="Z27" s="271">
        <f t="shared" si="11"/>
        <v>0</v>
      </c>
      <c r="AA27" s="281"/>
      <c r="AB27" s="280">
        <f t="shared" si="12"/>
        <v>0</v>
      </c>
      <c r="AC27" s="271">
        <f t="shared" si="13"/>
        <v>0</v>
      </c>
      <c r="AD27" s="281"/>
      <c r="AE27" s="280">
        <f t="shared" si="14"/>
        <v>0</v>
      </c>
      <c r="AF27" s="271">
        <f t="shared" si="15"/>
        <v>0</v>
      </c>
      <c r="AG27" s="281"/>
    </row>
    <row r="28" spans="2:33" ht="12.75" customHeight="1" hidden="1">
      <c r="B28" s="271"/>
      <c r="C28" s="271">
        <f>Inscription!I27</f>
        <v>10</v>
      </c>
      <c r="D28" s="272" t="str">
        <f>Inscription!F27</f>
        <v>x</v>
      </c>
      <c r="E28" s="272">
        <f t="shared" si="16"/>
        <v>1</v>
      </c>
      <c r="F28" s="272">
        <f>Inscription!G27</f>
        <v>0</v>
      </c>
      <c r="G28" s="272">
        <f t="shared" si="17"/>
        <v>0</v>
      </c>
      <c r="H28" s="272"/>
      <c r="I28" s="277"/>
      <c r="J28" s="280">
        <f t="shared" si="0"/>
        <v>0</v>
      </c>
      <c r="K28" s="271">
        <f t="shared" si="1"/>
        <v>0</v>
      </c>
      <c r="L28" s="281"/>
      <c r="M28" s="280">
        <f t="shared" si="2"/>
        <v>0</v>
      </c>
      <c r="N28" s="271">
        <f t="shared" si="3"/>
        <v>0</v>
      </c>
      <c r="O28" s="281"/>
      <c r="P28" s="280">
        <f t="shared" si="4"/>
        <v>1</v>
      </c>
      <c r="Q28" s="271">
        <f t="shared" si="5"/>
        <v>0</v>
      </c>
      <c r="R28" s="281"/>
      <c r="S28" s="280">
        <f t="shared" si="6"/>
        <v>0</v>
      </c>
      <c r="T28" s="271">
        <f t="shared" si="7"/>
        <v>0</v>
      </c>
      <c r="U28" s="281"/>
      <c r="V28" s="280">
        <f t="shared" si="8"/>
        <v>0</v>
      </c>
      <c r="W28" s="271">
        <f t="shared" si="9"/>
        <v>0</v>
      </c>
      <c r="X28" s="281"/>
      <c r="Y28" s="280">
        <f t="shared" si="10"/>
        <v>0</v>
      </c>
      <c r="Z28" s="271">
        <f t="shared" si="11"/>
        <v>0</v>
      </c>
      <c r="AA28" s="281"/>
      <c r="AB28" s="280">
        <f t="shared" si="12"/>
        <v>0</v>
      </c>
      <c r="AC28" s="271">
        <f t="shared" si="13"/>
        <v>0</v>
      </c>
      <c r="AD28" s="281"/>
      <c r="AE28" s="280">
        <f t="shared" si="14"/>
        <v>0</v>
      </c>
      <c r="AF28" s="271">
        <f t="shared" si="15"/>
        <v>0</v>
      </c>
      <c r="AG28" s="281"/>
    </row>
    <row r="29" spans="2:33" ht="12.75" customHeight="1" hidden="1">
      <c r="B29" s="271"/>
      <c r="C29" s="271">
        <f>Inscription!I28</f>
        <v>11</v>
      </c>
      <c r="D29" s="272">
        <f>Inscription!F28</f>
        <v>0</v>
      </c>
      <c r="E29" s="272">
        <f t="shared" si="16"/>
        <v>0</v>
      </c>
      <c r="F29" s="272" t="str">
        <f>Inscription!G28</f>
        <v>x</v>
      </c>
      <c r="G29" s="272">
        <f t="shared" si="17"/>
        <v>1</v>
      </c>
      <c r="H29" s="272"/>
      <c r="I29" s="277"/>
      <c r="J29" s="280">
        <f t="shared" si="0"/>
        <v>0</v>
      </c>
      <c r="K29" s="271">
        <f t="shared" si="1"/>
        <v>0</v>
      </c>
      <c r="L29" s="281"/>
      <c r="M29" s="280">
        <f t="shared" si="2"/>
        <v>0</v>
      </c>
      <c r="N29" s="271">
        <f t="shared" si="3"/>
        <v>0</v>
      </c>
      <c r="O29" s="281"/>
      <c r="P29" s="280">
        <f t="shared" si="4"/>
        <v>0</v>
      </c>
      <c r="Q29" s="271">
        <f t="shared" si="5"/>
        <v>0</v>
      </c>
      <c r="R29" s="281"/>
      <c r="S29" s="280">
        <f t="shared" si="6"/>
        <v>0</v>
      </c>
      <c r="T29" s="271">
        <f t="shared" si="7"/>
        <v>1</v>
      </c>
      <c r="U29" s="281"/>
      <c r="V29" s="280">
        <f t="shared" si="8"/>
        <v>0</v>
      </c>
      <c r="W29" s="271">
        <f t="shared" si="9"/>
        <v>0</v>
      </c>
      <c r="X29" s="281"/>
      <c r="Y29" s="280">
        <f t="shared" si="10"/>
        <v>0</v>
      </c>
      <c r="Z29" s="271">
        <f t="shared" si="11"/>
        <v>0</v>
      </c>
      <c r="AA29" s="281"/>
      <c r="AB29" s="280">
        <f t="shared" si="12"/>
        <v>0</v>
      </c>
      <c r="AC29" s="271">
        <f t="shared" si="13"/>
        <v>0</v>
      </c>
      <c r="AD29" s="281"/>
      <c r="AE29" s="280">
        <f t="shared" si="14"/>
        <v>0</v>
      </c>
      <c r="AF29" s="271">
        <f t="shared" si="15"/>
        <v>0</v>
      </c>
      <c r="AG29" s="281"/>
    </row>
    <row r="30" spans="2:33" ht="12.75" customHeight="1" hidden="1">
      <c r="B30" s="271"/>
      <c r="C30" s="271">
        <f>Inscription!I29</f>
        <v>11</v>
      </c>
      <c r="D30" s="272" t="str">
        <f>Inscription!F29</f>
        <v>x</v>
      </c>
      <c r="E30" s="272">
        <f t="shared" si="16"/>
        <v>1</v>
      </c>
      <c r="F30" s="272">
        <f>Inscription!G29</f>
        <v>0</v>
      </c>
      <c r="G30" s="272">
        <f t="shared" si="17"/>
        <v>0</v>
      </c>
      <c r="H30" s="272"/>
      <c r="I30" s="277"/>
      <c r="J30" s="280">
        <f t="shared" si="0"/>
        <v>0</v>
      </c>
      <c r="K30" s="271">
        <f t="shared" si="1"/>
        <v>0</v>
      </c>
      <c r="L30" s="281"/>
      <c r="M30" s="280">
        <f t="shared" si="2"/>
        <v>0</v>
      </c>
      <c r="N30" s="271">
        <f t="shared" si="3"/>
        <v>0</v>
      </c>
      <c r="O30" s="281"/>
      <c r="P30" s="280">
        <f t="shared" si="4"/>
        <v>0</v>
      </c>
      <c r="Q30" s="271">
        <f t="shared" si="5"/>
        <v>0</v>
      </c>
      <c r="R30" s="281"/>
      <c r="S30" s="280">
        <f t="shared" si="6"/>
        <v>1</v>
      </c>
      <c r="T30" s="271">
        <f t="shared" si="7"/>
        <v>0</v>
      </c>
      <c r="U30" s="281"/>
      <c r="V30" s="280">
        <f t="shared" si="8"/>
        <v>0</v>
      </c>
      <c r="W30" s="271">
        <f t="shared" si="9"/>
        <v>0</v>
      </c>
      <c r="X30" s="281"/>
      <c r="Y30" s="280">
        <f t="shared" si="10"/>
        <v>0</v>
      </c>
      <c r="Z30" s="271">
        <f t="shared" si="11"/>
        <v>0</v>
      </c>
      <c r="AA30" s="281"/>
      <c r="AB30" s="280">
        <f t="shared" si="12"/>
        <v>0</v>
      </c>
      <c r="AC30" s="271">
        <f t="shared" si="13"/>
        <v>0</v>
      </c>
      <c r="AD30" s="281"/>
      <c r="AE30" s="280">
        <f t="shared" si="14"/>
        <v>0</v>
      </c>
      <c r="AF30" s="271">
        <f t="shared" si="15"/>
        <v>0</v>
      </c>
      <c r="AG30" s="281"/>
    </row>
    <row r="31" spans="2:33" ht="12.75" customHeight="1" hidden="1">
      <c r="B31" s="271"/>
      <c r="C31" s="271">
        <f>Inscription!I30</f>
        <v>9</v>
      </c>
      <c r="D31" s="272" t="str">
        <f>Inscription!F30</f>
        <v>x</v>
      </c>
      <c r="E31" s="272">
        <f t="shared" si="16"/>
        <v>1</v>
      </c>
      <c r="F31" s="272">
        <f>Inscription!G30</f>
        <v>0</v>
      </c>
      <c r="G31" s="272">
        <f t="shared" si="17"/>
        <v>0</v>
      </c>
      <c r="H31" s="272"/>
      <c r="I31" s="277"/>
      <c r="J31" s="280">
        <f t="shared" si="0"/>
        <v>0</v>
      </c>
      <c r="K31" s="271">
        <f t="shared" si="1"/>
        <v>0</v>
      </c>
      <c r="L31" s="281"/>
      <c r="M31" s="280">
        <f t="shared" si="2"/>
        <v>1</v>
      </c>
      <c r="N31" s="271">
        <f t="shared" si="3"/>
        <v>0</v>
      </c>
      <c r="O31" s="281"/>
      <c r="P31" s="280">
        <f t="shared" si="4"/>
        <v>0</v>
      </c>
      <c r="Q31" s="271">
        <f t="shared" si="5"/>
        <v>0</v>
      </c>
      <c r="R31" s="281"/>
      <c r="S31" s="280">
        <f t="shared" si="6"/>
        <v>0</v>
      </c>
      <c r="T31" s="271">
        <f t="shared" si="7"/>
        <v>0</v>
      </c>
      <c r="U31" s="281"/>
      <c r="V31" s="280">
        <f t="shared" si="8"/>
        <v>0</v>
      </c>
      <c r="W31" s="271">
        <f t="shared" si="9"/>
        <v>0</v>
      </c>
      <c r="X31" s="281"/>
      <c r="Y31" s="280">
        <f t="shared" si="10"/>
        <v>0</v>
      </c>
      <c r="Z31" s="271">
        <f t="shared" si="11"/>
        <v>0</v>
      </c>
      <c r="AA31" s="281"/>
      <c r="AB31" s="280">
        <f t="shared" si="12"/>
        <v>0</v>
      </c>
      <c r="AC31" s="271">
        <f t="shared" si="13"/>
        <v>0</v>
      </c>
      <c r="AD31" s="281"/>
      <c r="AE31" s="280">
        <f t="shared" si="14"/>
        <v>0</v>
      </c>
      <c r="AF31" s="271">
        <f t="shared" si="15"/>
        <v>0</v>
      </c>
      <c r="AG31" s="281"/>
    </row>
    <row r="32" spans="2:33" ht="12.75" customHeight="1" hidden="1">
      <c r="B32" s="271"/>
      <c r="C32" s="271">
        <f>Inscription!I31</f>
        <v>8</v>
      </c>
      <c r="D32" s="272" t="str">
        <f>Inscription!F31</f>
        <v>x</v>
      </c>
      <c r="E32" s="272">
        <f t="shared" si="16"/>
        <v>1</v>
      </c>
      <c r="F32" s="272">
        <f>Inscription!G31</f>
        <v>0</v>
      </c>
      <c r="G32" s="272">
        <f t="shared" si="17"/>
        <v>0</v>
      </c>
      <c r="H32" s="272"/>
      <c r="I32" s="277"/>
      <c r="J32" s="280">
        <f t="shared" si="0"/>
        <v>1</v>
      </c>
      <c r="K32" s="271">
        <f t="shared" si="1"/>
        <v>0</v>
      </c>
      <c r="L32" s="281"/>
      <c r="M32" s="280">
        <f t="shared" si="2"/>
        <v>0</v>
      </c>
      <c r="N32" s="271">
        <f t="shared" si="3"/>
        <v>0</v>
      </c>
      <c r="O32" s="281"/>
      <c r="P32" s="280">
        <f t="shared" si="4"/>
        <v>0</v>
      </c>
      <c r="Q32" s="271">
        <f t="shared" si="5"/>
        <v>0</v>
      </c>
      <c r="R32" s="281"/>
      <c r="S32" s="280">
        <f t="shared" si="6"/>
        <v>0</v>
      </c>
      <c r="T32" s="271">
        <f t="shared" si="7"/>
        <v>0</v>
      </c>
      <c r="U32" s="281"/>
      <c r="V32" s="280">
        <f t="shared" si="8"/>
        <v>0</v>
      </c>
      <c r="W32" s="271">
        <f t="shared" si="9"/>
        <v>0</v>
      </c>
      <c r="X32" s="281"/>
      <c r="Y32" s="280">
        <f t="shared" si="10"/>
        <v>0</v>
      </c>
      <c r="Z32" s="271">
        <f t="shared" si="11"/>
        <v>0</v>
      </c>
      <c r="AA32" s="281"/>
      <c r="AB32" s="280">
        <f t="shared" si="12"/>
        <v>0</v>
      </c>
      <c r="AC32" s="271">
        <f t="shared" si="13"/>
        <v>0</v>
      </c>
      <c r="AD32" s="281"/>
      <c r="AE32" s="280">
        <f t="shared" si="14"/>
        <v>0</v>
      </c>
      <c r="AF32" s="271">
        <f t="shared" si="15"/>
        <v>0</v>
      </c>
      <c r="AG32" s="281"/>
    </row>
    <row r="33" spans="2:33" ht="12.75" customHeight="1" hidden="1">
      <c r="B33" s="271"/>
      <c r="C33" s="271">
        <f>Inscription!I32</f>
        <v>8</v>
      </c>
      <c r="D33" s="272" t="str">
        <f>Inscription!F32</f>
        <v>x</v>
      </c>
      <c r="E33" s="272">
        <f t="shared" si="16"/>
        <v>1</v>
      </c>
      <c r="F33" s="272">
        <f>Inscription!G32</f>
        <v>0</v>
      </c>
      <c r="G33" s="272">
        <f t="shared" si="17"/>
        <v>0</v>
      </c>
      <c r="H33" s="272"/>
      <c r="I33" s="277"/>
      <c r="J33" s="280">
        <f t="shared" si="0"/>
        <v>1</v>
      </c>
      <c r="K33" s="271">
        <f t="shared" si="1"/>
        <v>0</v>
      </c>
      <c r="L33" s="281"/>
      <c r="M33" s="280">
        <f t="shared" si="2"/>
        <v>0</v>
      </c>
      <c r="N33" s="271">
        <f t="shared" si="3"/>
        <v>0</v>
      </c>
      <c r="O33" s="281"/>
      <c r="P33" s="280">
        <f t="shared" si="4"/>
        <v>0</v>
      </c>
      <c r="Q33" s="271">
        <f t="shared" si="5"/>
        <v>0</v>
      </c>
      <c r="R33" s="281"/>
      <c r="S33" s="280">
        <f t="shared" si="6"/>
        <v>0</v>
      </c>
      <c r="T33" s="271">
        <f t="shared" si="7"/>
        <v>0</v>
      </c>
      <c r="U33" s="281"/>
      <c r="V33" s="280">
        <f t="shared" si="8"/>
        <v>0</v>
      </c>
      <c r="W33" s="271">
        <f t="shared" si="9"/>
        <v>0</v>
      </c>
      <c r="X33" s="281"/>
      <c r="Y33" s="280">
        <f t="shared" si="10"/>
        <v>0</v>
      </c>
      <c r="Z33" s="271">
        <f t="shared" si="11"/>
        <v>0</v>
      </c>
      <c r="AA33" s="281"/>
      <c r="AB33" s="280">
        <f t="shared" si="12"/>
        <v>0</v>
      </c>
      <c r="AC33" s="271">
        <f t="shared" si="13"/>
        <v>0</v>
      </c>
      <c r="AD33" s="281"/>
      <c r="AE33" s="280">
        <f t="shared" si="14"/>
        <v>0</v>
      </c>
      <c r="AF33" s="271">
        <f t="shared" si="15"/>
        <v>0</v>
      </c>
      <c r="AG33" s="281"/>
    </row>
    <row r="34" spans="2:33" ht="12.75" customHeight="1" hidden="1">
      <c r="B34" s="271"/>
      <c r="C34" s="271">
        <f>Inscription!I33</f>
        <v>11</v>
      </c>
      <c r="D34" s="272">
        <f>Inscription!F33</f>
        <v>0</v>
      </c>
      <c r="E34" s="272">
        <f t="shared" si="16"/>
        <v>0</v>
      </c>
      <c r="F34" s="272" t="str">
        <f>Inscription!G33</f>
        <v>x</v>
      </c>
      <c r="G34" s="272">
        <f t="shared" si="17"/>
        <v>1</v>
      </c>
      <c r="H34" s="272"/>
      <c r="I34" s="277"/>
      <c r="J34" s="280">
        <f t="shared" si="0"/>
        <v>0</v>
      </c>
      <c r="K34" s="271">
        <f t="shared" si="1"/>
        <v>0</v>
      </c>
      <c r="L34" s="281"/>
      <c r="M34" s="280">
        <f t="shared" si="2"/>
        <v>0</v>
      </c>
      <c r="N34" s="271">
        <f t="shared" si="3"/>
        <v>0</v>
      </c>
      <c r="O34" s="281"/>
      <c r="P34" s="280">
        <f t="shared" si="4"/>
        <v>0</v>
      </c>
      <c r="Q34" s="271">
        <f t="shared" si="5"/>
        <v>0</v>
      </c>
      <c r="R34" s="281"/>
      <c r="S34" s="280">
        <f t="shared" si="6"/>
        <v>0</v>
      </c>
      <c r="T34" s="271">
        <f t="shared" si="7"/>
        <v>1</v>
      </c>
      <c r="U34" s="281"/>
      <c r="V34" s="280">
        <f t="shared" si="8"/>
        <v>0</v>
      </c>
      <c r="W34" s="271">
        <f t="shared" si="9"/>
        <v>0</v>
      </c>
      <c r="X34" s="281"/>
      <c r="Y34" s="280">
        <f t="shared" si="10"/>
        <v>0</v>
      </c>
      <c r="Z34" s="271">
        <f t="shared" si="11"/>
        <v>0</v>
      </c>
      <c r="AA34" s="281"/>
      <c r="AB34" s="280">
        <f t="shared" si="12"/>
        <v>0</v>
      </c>
      <c r="AC34" s="271">
        <f t="shared" si="13"/>
        <v>0</v>
      </c>
      <c r="AD34" s="281"/>
      <c r="AE34" s="280">
        <f t="shared" si="14"/>
        <v>0</v>
      </c>
      <c r="AF34" s="271">
        <f t="shared" si="15"/>
        <v>0</v>
      </c>
      <c r="AG34" s="281"/>
    </row>
    <row r="35" spans="2:33" ht="12.75" customHeight="1" hidden="1">
      <c r="B35" s="271"/>
      <c r="C35" s="271">
        <f>Inscription!I34</f>
        <v>10</v>
      </c>
      <c r="D35" s="272">
        <f>Inscription!F34</f>
        <v>0</v>
      </c>
      <c r="E35" s="272">
        <f t="shared" si="16"/>
        <v>0</v>
      </c>
      <c r="F35" s="272" t="str">
        <f>Inscription!G34</f>
        <v>x</v>
      </c>
      <c r="G35" s="272">
        <f t="shared" si="17"/>
        <v>1</v>
      </c>
      <c r="H35" s="272"/>
      <c r="I35" s="277"/>
      <c r="J35" s="280">
        <f t="shared" si="0"/>
        <v>0</v>
      </c>
      <c r="K35" s="271">
        <f t="shared" si="1"/>
        <v>0</v>
      </c>
      <c r="L35" s="281"/>
      <c r="M35" s="280">
        <f t="shared" si="2"/>
        <v>0</v>
      </c>
      <c r="N35" s="271">
        <f t="shared" si="3"/>
        <v>0</v>
      </c>
      <c r="O35" s="281"/>
      <c r="P35" s="280">
        <f t="shared" si="4"/>
        <v>0</v>
      </c>
      <c r="Q35" s="271">
        <f t="shared" si="5"/>
        <v>1</v>
      </c>
      <c r="R35" s="281"/>
      <c r="S35" s="280">
        <f t="shared" si="6"/>
        <v>0</v>
      </c>
      <c r="T35" s="271">
        <f t="shared" si="7"/>
        <v>0</v>
      </c>
      <c r="U35" s="281"/>
      <c r="V35" s="280">
        <f t="shared" si="8"/>
        <v>0</v>
      </c>
      <c r="W35" s="271">
        <f t="shared" si="9"/>
        <v>0</v>
      </c>
      <c r="X35" s="281"/>
      <c r="Y35" s="280">
        <f t="shared" si="10"/>
        <v>0</v>
      </c>
      <c r="Z35" s="271">
        <f t="shared" si="11"/>
        <v>0</v>
      </c>
      <c r="AA35" s="281"/>
      <c r="AB35" s="280">
        <f t="shared" si="12"/>
        <v>0</v>
      </c>
      <c r="AC35" s="271">
        <f t="shared" si="13"/>
        <v>0</v>
      </c>
      <c r="AD35" s="281"/>
      <c r="AE35" s="280">
        <f t="shared" si="14"/>
        <v>0</v>
      </c>
      <c r="AF35" s="271">
        <f t="shared" si="15"/>
        <v>0</v>
      </c>
      <c r="AG35" s="281"/>
    </row>
    <row r="36" spans="2:33" ht="12.75" customHeight="1" hidden="1">
      <c r="B36" s="271"/>
      <c r="C36" s="271">
        <f>Inscription!I35</f>
        <v>10</v>
      </c>
      <c r="D36" s="272">
        <f>Inscription!F35</f>
        <v>0</v>
      </c>
      <c r="E36" s="272">
        <f t="shared" si="16"/>
        <v>0</v>
      </c>
      <c r="F36" s="272" t="str">
        <f>Inscription!G35</f>
        <v>x</v>
      </c>
      <c r="G36" s="272">
        <f t="shared" si="17"/>
        <v>1</v>
      </c>
      <c r="H36" s="272"/>
      <c r="I36" s="277"/>
      <c r="J36" s="280">
        <f t="shared" si="0"/>
        <v>0</v>
      </c>
      <c r="K36" s="271">
        <f t="shared" si="1"/>
        <v>0</v>
      </c>
      <c r="L36" s="281"/>
      <c r="M36" s="280">
        <f t="shared" si="2"/>
        <v>0</v>
      </c>
      <c r="N36" s="271">
        <f t="shared" si="3"/>
        <v>0</v>
      </c>
      <c r="O36" s="281"/>
      <c r="P36" s="280">
        <f t="shared" si="4"/>
        <v>0</v>
      </c>
      <c r="Q36" s="271">
        <f t="shared" si="5"/>
        <v>1</v>
      </c>
      <c r="R36" s="281"/>
      <c r="S36" s="280">
        <f t="shared" si="6"/>
        <v>0</v>
      </c>
      <c r="T36" s="271">
        <f t="shared" si="7"/>
        <v>0</v>
      </c>
      <c r="U36" s="281"/>
      <c r="V36" s="280">
        <f t="shared" si="8"/>
        <v>0</v>
      </c>
      <c r="W36" s="271">
        <f t="shared" si="9"/>
        <v>0</v>
      </c>
      <c r="X36" s="281"/>
      <c r="Y36" s="280">
        <f t="shared" si="10"/>
        <v>0</v>
      </c>
      <c r="Z36" s="271">
        <f t="shared" si="11"/>
        <v>0</v>
      </c>
      <c r="AA36" s="281"/>
      <c r="AB36" s="280">
        <f t="shared" si="12"/>
        <v>0</v>
      </c>
      <c r="AC36" s="271">
        <f t="shared" si="13"/>
        <v>0</v>
      </c>
      <c r="AD36" s="281"/>
      <c r="AE36" s="280">
        <f t="shared" si="14"/>
        <v>0</v>
      </c>
      <c r="AF36" s="271">
        <f t="shared" si="15"/>
        <v>0</v>
      </c>
      <c r="AG36" s="281"/>
    </row>
    <row r="37" spans="2:33" ht="12.75" customHeight="1" hidden="1">
      <c r="B37" s="271"/>
      <c r="C37" s="271">
        <f>Inscription!I36</f>
        <v>10</v>
      </c>
      <c r="D37" s="272">
        <f>Inscription!F36</f>
        <v>0</v>
      </c>
      <c r="E37" s="272">
        <f t="shared" si="16"/>
        <v>0</v>
      </c>
      <c r="F37" s="272" t="str">
        <f>Inscription!G36</f>
        <v>x</v>
      </c>
      <c r="G37" s="272">
        <f t="shared" si="17"/>
        <v>1</v>
      </c>
      <c r="H37" s="272"/>
      <c r="I37" s="277"/>
      <c r="J37" s="280">
        <f t="shared" si="0"/>
        <v>0</v>
      </c>
      <c r="K37" s="271">
        <f t="shared" si="1"/>
        <v>0</v>
      </c>
      <c r="L37" s="281"/>
      <c r="M37" s="280">
        <f t="shared" si="2"/>
        <v>0</v>
      </c>
      <c r="N37" s="271">
        <f t="shared" si="3"/>
        <v>0</v>
      </c>
      <c r="O37" s="281"/>
      <c r="P37" s="280">
        <f t="shared" si="4"/>
        <v>0</v>
      </c>
      <c r="Q37" s="271">
        <f t="shared" si="5"/>
        <v>1</v>
      </c>
      <c r="R37" s="281"/>
      <c r="S37" s="280">
        <f t="shared" si="6"/>
        <v>0</v>
      </c>
      <c r="T37" s="271">
        <f t="shared" si="7"/>
        <v>0</v>
      </c>
      <c r="U37" s="281"/>
      <c r="V37" s="280">
        <f t="shared" si="8"/>
        <v>0</v>
      </c>
      <c r="W37" s="271">
        <f t="shared" si="9"/>
        <v>0</v>
      </c>
      <c r="X37" s="281"/>
      <c r="Y37" s="280">
        <f t="shared" si="10"/>
        <v>0</v>
      </c>
      <c r="Z37" s="271">
        <f t="shared" si="11"/>
        <v>0</v>
      </c>
      <c r="AA37" s="281"/>
      <c r="AB37" s="280">
        <f t="shared" si="12"/>
        <v>0</v>
      </c>
      <c r="AC37" s="271">
        <f t="shared" si="13"/>
        <v>0</v>
      </c>
      <c r="AD37" s="281"/>
      <c r="AE37" s="280">
        <f t="shared" si="14"/>
        <v>0</v>
      </c>
      <c r="AF37" s="271">
        <f t="shared" si="15"/>
        <v>0</v>
      </c>
      <c r="AG37" s="281"/>
    </row>
    <row r="38" spans="2:33" ht="12.75" customHeight="1" hidden="1">
      <c r="B38" s="271"/>
      <c r="C38" s="271">
        <f>Inscription!I37</f>
        <v>11</v>
      </c>
      <c r="D38" s="272">
        <f>Inscription!F37</f>
        <v>0</v>
      </c>
      <c r="E38" s="272">
        <f t="shared" si="16"/>
        <v>0</v>
      </c>
      <c r="F38" s="272" t="str">
        <f>Inscription!G37</f>
        <v>x</v>
      </c>
      <c r="G38" s="272">
        <f t="shared" si="17"/>
        <v>1</v>
      </c>
      <c r="H38" s="272"/>
      <c r="I38" s="277"/>
      <c r="J38" s="280">
        <f t="shared" si="0"/>
        <v>0</v>
      </c>
      <c r="K38" s="271">
        <f t="shared" si="1"/>
        <v>0</v>
      </c>
      <c r="L38" s="281"/>
      <c r="M38" s="280">
        <f t="shared" si="2"/>
        <v>0</v>
      </c>
      <c r="N38" s="271">
        <f t="shared" si="3"/>
        <v>0</v>
      </c>
      <c r="O38" s="281"/>
      <c r="P38" s="280">
        <f t="shared" si="4"/>
        <v>0</v>
      </c>
      <c r="Q38" s="271">
        <f t="shared" si="5"/>
        <v>0</v>
      </c>
      <c r="R38" s="281"/>
      <c r="S38" s="280">
        <f t="shared" si="6"/>
        <v>0</v>
      </c>
      <c r="T38" s="271">
        <f t="shared" si="7"/>
        <v>1</v>
      </c>
      <c r="U38" s="281"/>
      <c r="V38" s="280">
        <f t="shared" si="8"/>
        <v>0</v>
      </c>
      <c r="W38" s="271">
        <f t="shared" si="9"/>
        <v>0</v>
      </c>
      <c r="X38" s="281"/>
      <c r="Y38" s="280">
        <f t="shared" si="10"/>
        <v>0</v>
      </c>
      <c r="Z38" s="271">
        <f t="shared" si="11"/>
        <v>0</v>
      </c>
      <c r="AA38" s="281"/>
      <c r="AB38" s="280">
        <f t="shared" si="12"/>
        <v>0</v>
      </c>
      <c r="AC38" s="271">
        <f t="shared" si="13"/>
        <v>0</v>
      </c>
      <c r="AD38" s="281"/>
      <c r="AE38" s="280">
        <f t="shared" si="14"/>
        <v>0</v>
      </c>
      <c r="AF38" s="271">
        <f t="shared" si="15"/>
        <v>0</v>
      </c>
      <c r="AG38" s="281"/>
    </row>
    <row r="39" spans="2:33" ht="12.75" customHeight="1" hidden="1">
      <c r="B39" s="271"/>
      <c r="C39" s="271">
        <f>Inscription!I38</f>
        <v>10</v>
      </c>
      <c r="D39" s="272">
        <f>Inscription!F38</f>
        <v>0</v>
      </c>
      <c r="E39" s="272">
        <f t="shared" si="16"/>
        <v>0</v>
      </c>
      <c r="F39" s="272" t="str">
        <f>Inscription!G38</f>
        <v>x</v>
      </c>
      <c r="G39" s="272">
        <f t="shared" si="17"/>
        <v>1</v>
      </c>
      <c r="H39" s="272"/>
      <c r="I39" s="277"/>
      <c r="J39" s="280">
        <f t="shared" si="0"/>
        <v>0</v>
      </c>
      <c r="K39" s="271">
        <f t="shared" si="1"/>
        <v>0</v>
      </c>
      <c r="L39" s="281"/>
      <c r="M39" s="280">
        <f t="shared" si="2"/>
        <v>0</v>
      </c>
      <c r="N39" s="271">
        <f t="shared" si="3"/>
        <v>0</v>
      </c>
      <c r="O39" s="281"/>
      <c r="P39" s="280">
        <f t="shared" si="4"/>
        <v>0</v>
      </c>
      <c r="Q39" s="271">
        <f t="shared" si="5"/>
        <v>1</v>
      </c>
      <c r="R39" s="281"/>
      <c r="S39" s="280">
        <f t="shared" si="6"/>
        <v>0</v>
      </c>
      <c r="T39" s="271">
        <f t="shared" si="7"/>
        <v>0</v>
      </c>
      <c r="U39" s="281"/>
      <c r="V39" s="280">
        <f t="shared" si="8"/>
        <v>0</v>
      </c>
      <c r="W39" s="271">
        <f t="shared" si="9"/>
        <v>0</v>
      </c>
      <c r="X39" s="281"/>
      <c r="Y39" s="280">
        <f t="shared" si="10"/>
        <v>0</v>
      </c>
      <c r="Z39" s="271">
        <f t="shared" si="11"/>
        <v>0</v>
      </c>
      <c r="AA39" s="281"/>
      <c r="AB39" s="280">
        <f t="shared" si="12"/>
        <v>0</v>
      </c>
      <c r="AC39" s="271">
        <f t="shared" si="13"/>
        <v>0</v>
      </c>
      <c r="AD39" s="281"/>
      <c r="AE39" s="280">
        <f t="shared" si="14"/>
        <v>0</v>
      </c>
      <c r="AF39" s="271">
        <f t="shared" si="15"/>
        <v>0</v>
      </c>
      <c r="AG39" s="281"/>
    </row>
    <row r="40" spans="2:33" ht="12.75" customHeight="1" hidden="1">
      <c r="B40" s="271"/>
      <c r="C40" s="271">
        <f>Inscription!I39</f>
        <v>11</v>
      </c>
      <c r="D40" s="272" t="str">
        <f>Inscription!F39</f>
        <v>x</v>
      </c>
      <c r="E40" s="272">
        <f t="shared" si="16"/>
        <v>1</v>
      </c>
      <c r="F40" s="272">
        <f>Inscription!G39</f>
        <v>0</v>
      </c>
      <c r="G40" s="272">
        <f t="shared" si="17"/>
        <v>0</v>
      </c>
      <c r="H40" s="272"/>
      <c r="I40" s="277"/>
      <c r="J40" s="280">
        <f t="shared" si="0"/>
        <v>0</v>
      </c>
      <c r="K40" s="271">
        <f t="shared" si="1"/>
        <v>0</v>
      </c>
      <c r="L40" s="281"/>
      <c r="M40" s="280">
        <f t="shared" si="2"/>
        <v>0</v>
      </c>
      <c r="N40" s="271">
        <f t="shared" si="3"/>
        <v>0</v>
      </c>
      <c r="O40" s="281"/>
      <c r="P40" s="280">
        <f t="shared" si="4"/>
        <v>0</v>
      </c>
      <c r="Q40" s="271">
        <f t="shared" si="5"/>
        <v>0</v>
      </c>
      <c r="R40" s="281"/>
      <c r="S40" s="280">
        <f t="shared" si="6"/>
        <v>1</v>
      </c>
      <c r="T40" s="271">
        <f t="shared" si="7"/>
        <v>0</v>
      </c>
      <c r="U40" s="281"/>
      <c r="V40" s="280">
        <f t="shared" si="8"/>
        <v>0</v>
      </c>
      <c r="W40" s="271">
        <f t="shared" si="9"/>
        <v>0</v>
      </c>
      <c r="X40" s="281"/>
      <c r="Y40" s="280">
        <f t="shared" si="10"/>
        <v>0</v>
      </c>
      <c r="Z40" s="271">
        <f t="shared" si="11"/>
        <v>0</v>
      </c>
      <c r="AA40" s="281"/>
      <c r="AB40" s="280">
        <f t="shared" si="12"/>
        <v>0</v>
      </c>
      <c r="AC40" s="271">
        <f t="shared" si="13"/>
        <v>0</v>
      </c>
      <c r="AD40" s="281"/>
      <c r="AE40" s="280">
        <f t="shared" si="14"/>
        <v>0</v>
      </c>
      <c r="AF40" s="271">
        <f t="shared" si="15"/>
        <v>0</v>
      </c>
      <c r="AG40" s="281"/>
    </row>
    <row r="41" spans="2:33" ht="12.75" customHeight="1" hidden="1">
      <c r="B41" s="271"/>
      <c r="C41" s="271">
        <f>Inscription!I40</f>
        <v>11</v>
      </c>
      <c r="D41" s="272" t="str">
        <f>Inscription!F40</f>
        <v>x</v>
      </c>
      <c r="E41" s="272">
        <f t="shared" si="16"/>
        <v>1</v>
      </c>
      <c r="F41" s="272">
        <f>Inscription!G40</f>
        <v>0</v>
      </c>
      <c r="G41" s="272">
        <f t="shared" si="17"/>
        <v>0</v>
      </c>
      <c r="H41" s="272"/>
      <c r="I41" s="277"/>
      <c r="J41" s="280">
        <f t="shared" si="0"/>
        <v>0</v>
      </c>
      <c r="K41" s="271">
        <f t="shared" si="1"/>
        <v>0</v>
      </c>
      <c r="L41" s="281"/>
      <c r="M41" s="280">
        <f t="shared" si="2"/>
        <v>0</v>
      </c>
      <c r="N41" s="271">
        <f t="shared" si="3"/>
        <v>0</v>
      </c>
      <c r="O41" s="281"/>
      <c r="P41" s="280">
        <f t="shared" si="4"/>
        <v>0</v>
      </c>
      <c r="Q41" s="271">
        <f t="shared" si="5"/>
        <v>0</v>
      </c>
      <c r="R41" s="281"/>
      <c r="S41" s="280">
        <f t="shared" si="6"/>
        <v>1</v>
      </c>
      <c r="T41" s="271">
        <f t="shared" si="7"/>
        <v>0</v>
      </c>
      <c r="U41" s="281"/>
      <c r="V41" s="280">
        <f t="shared" si="8"/>
        <v>0</v>
      </c>
      <c r="W41" s="271">
        <f t="shared" si="9"/>
        <v>0</v>
      </c>
      <c r="X41" s="281"/>
      <c r="Y41" s="280">
        <f t="shared" si="10"/>
        <v>0</v>
      </c>
      <c r="Z41" s="271">
        <f t="shared" si="11"/>
        <v>0</v>
      </c>
      <c r="AA41" s="281"/>
      <c r="AB41" s="280">
        <f t="shared" si="12"/>
        <v>0</v>
      </c>
      <c r="AC41" s="271">
        <f t="shared" si="13"/>
        <v>0</v>
      </c>
      <c r="AD41" s="281"/>
      <c r="AE41" s="280">
        <f t="shared" si="14"/>
        <v>0</v>
      </c>
      <c r="AF41" s="271">
        <f t="shared" si="15"/>
        <v>0</v>
      </c>
      <c r="AG41" s="281"/>
    </row>
    <row r="42" spans="2:33" ht="12.75" customHeight="1" hidden="1">
      <c r="B42" s="271"/>
      <c r="C42" s="271">
        <f>Inscription!I41</f>
        <v>11</v>
      </c>
      <c r="D42" s="272" t="str">
        <f>Inscription!F41</f>
        <v>x</v>
      </c>
      <c r="E42" s="272">
        <f t="shared" si="16"/>
        <v>1</v>
      </c>
      <c r="F42" s="272">
        <f>Inscription!G41</f>
        <v>0</v>
      </c>
      <c r="G42" s="272">
        <f t="shared" si="17"/>
        <v>0</v>
      </c>
      <c r="H42" s="272"/>
      <c r="I42" s="277"/>
      <c r="J42" s="280">
        <f t="shared" si="0"/>
        <v>0</v>
      </c>
      <c r="K42" s="271">
        <f t="shared" si="1"/>
        <v>0</v>
      </c>
      <c r="L42" s="281"/>
      <c r="M42" s="280">
        <f t="shared" si="2"/>
        <v>0</v>
      </c>
      <c r="N42" s="271">
        <f t="shared" si="3"/>
        <v>0</v>
      </c>
      <c r="O42" s="281"/>
      <c r="P42" s="280">
        <f t="shared" si="4"/>
        <v>0</v>
      </c>
      <c r="Q42" s="271">
        <f t="shared" si="5"/>
        <v>0</v>
      </c>
      <c r="R42" s="281"/>
      <c r="S42" s="280">
        <f t="shared" si="6"/>
        <v>1</v>
      </c>
      <c r="T42" s="271">
        <f t="shared" si="7"/>
        <v>0</v>
      </c>
      <c r="U42" s="281"/>
      <c r="V42" s="280">
        <f t="shared" si="8"/>
        <v>0</v>
      </c>
      <c r="W42" s="271">
        <f t="shared" si="9"/>
        <v>0</v>
      </c>
      <c r="X42" s="281"/>
      <c r="Y42" s="280">
        <f t="shared" si="10"/>
        <v>0</v>
      </c>
      <c r="Z42" s="271">
        <f t="shared" si="11"/>
        <v>0</v>
      </c>
      <c r="AA42" s="281"/>
      <c r="AB42" s="280">
        <f t="shared" si="12"/>
        <v>0</v>
      </c>
      <c r="AC42" s="271">
        <f t="shared" si="13"/>
        <v>0</v>
      </c>
      <c r="AD42" s="281"/>
      <c r="AE42" s="280">
        <f t="shared" si="14"/>
        <v>0</v>
      </c>
      <c r="AF42" s="271">
        <f t="shared" si="15"/>
        <v>0</v>
      </c>
      <c r="AG42" s="281"/>
    </row>
    <row r="43" spans="2:33" ht="12.75" customHeight="1" hidden="1">
      <c r="B43" s="271"/>
      <c r="C43" s="271">
        <f>Inscription!I42</f>
        <v>10</v>
      </c>
      <c r="D43" s="272">
        <f>Inscription!F42</f>
        <v>0</v>
      </c>
      <c r="E43" s="272">
        <f t="shared" si="16"/>
        <v>0</v>
      </c>
      <c r="F43" s="272" t="str">
        <f>Inscription!G42</f>
        <v>x</v>
      </c>
      <c r="G43" s="272">
        <f t="shared" si="17"/>
        <v>1</v>
      </c>
      <c r="H43" s="272"/>
      <c r="I43" s="277"/>
      <c r="J43" s="280">
        <f t="shared" si="0"/>
        <v>0</v>
      </c>
      <c r="K43" s="271">
        <f t="shared" si="1"/>
        <v>0</v>
      </c>
      <c r="L43" s="281"/>
      <c r="M43" s="280">
        <f t="shared" si="2"/>
        <v>0</v>
      </c>
      <c r="N43" s="271">
        <f t="shared" si="3"/>
        <v>0</v>
      </c>
      <c r="O43" s="281"/>
      <c r="P43" s="280">
        <f t="shared" si="4"/>
        <v>0</v>
      </c>
      <c r="Q43" s="271">
        <f t="shared" si="5"/>
        <v>1</v>
      </c>
      <c r="R43" s="281"/>
      <c r="S43" s="280">
        <f t="shared" si="6"/>
        <v>0</v>
      </c>
      <c r="T43" s="271">
        <f t="shared" si="7"/>
        <v>0</v>
      </c>
      <c r="U43" s="281"/>
      <c r="V43" s="280">
        <f t="shared" si="8"/>
        <v>0</v>
      </c>
      <c r="W43" s="271">
        <f t="shared" si="9"/>
        <v>0</v>
      </c>
      <c r="X43" s="281"/>
      <c r="Y43" s="280">
        <f t="shared" si="10"/>
        <v>0</v>
      </c>
      <c r="Z43" s="271">
        <f t="shared" si="11"/>
        <v>0</v>
      </c>
      <c r="AA43" s="281"/>
      <c r="AB43" s="280">
        <f t="shared" si="12"/>
        <v>0</v>
      </c>
      <c r="AC43" s="271">
        <f t="shared" si="13"/>
        <v>0</v>
      </c>
      <c r="AD43" s="281"/>
      <c r="AE43" s="280">
        <f t="shared" si="14"/>
        <v>0</v>
      </c>
      <c r="AF43" s="271">
        <f t="shared" si="15"/>
        <v>0</v>
      </c>
      <c r="AG43" s="281"/>
    </row>
    <row r="44" spans="2:33" ht="12.75" customHeight="1" hidden="1">
      <c r="B44" s="271"/>
      <c r="C44" s="271">
        <f>Inscription!I43</f>
        <v>11</v>
      </c>
      <c r="D44" s="272" t="str">
        <f>Inscription!F43</f>
        <v>x</v>
      </c>
      <c r="E44" s="272">
        <f t="shared" si="16"/>
        <v>1</v>
      </c>
      <c r="F44" s="272">
        <f>Inscription!G43</f>
        <v>0</v>
      </c>
      <c r="G44" s="272">
        <f t="shared" si="17"/>
        <v>0</v>
      </c>
      <c r="H44" s="272"/>
      <c r="I44" s="277"/>
      <c r="J44" s="280">
        <f t="shared" si="0"/>
        <v>0</v>
      </c>
      <c r="K44" s="271">
        <f t="shared" si="1"/>
        <v>0</v>
      </c>
      <c r="L44" s="281"/>
      <c r="M44" s="280">
        <f t="shared" si="2"/>
        <v>0</v>
      </c>
      <c r="N44" s="271">
        <f t="shared" si="3"/>
        <v>0</v>
      </c>
      <c r="O44" s="281"/>
      <c r="P44" s="280">
        <f t="shared" si="4"/>
        <v>0</v>
      </c>
      <c r="Q44" s="271">
        <f t="shared" si="5"/>
        <v>0</v>
      </c>
      <c r="R44" s="281"/>
      <c r="S44" s="280">
        <f t="shared" si="6"/>
        <v>1</v>
      </c>
      <c r="T44" s="271">
        <f t="shared" si="7"/>
        <v>0</v>
      </c>
      <c r="U44" s="281"/>
      <c r="V44" s="280">
        <f t="shared" si="8"/>
        <v>0</v>
      </c>
      <c r="W44" s="271">
        <f t="shared" si="9"/>
        <v>0</v>
      </c>
      <c r="X44" s="281"/>
      <c r="Y44" s="280">
        <f t="shared" si="10"/>
        <v>0</v>
      </c>
      <c r="Z44" s="271">
        <f t="shared" si="11"/>
        <v>0</v>
      </c>
      <c r="AA44" s="281"/>
      <c r="AB44" s="280">
        <f t="shared" si="12"/>
        <v>0</v>
      </c>
      <c r="AC44" s="271">
        <f t="shared" si="13"/>
        <v>0</v>
      </c>
      <c r="AD44" s="281"/>
      <c r="AE44" s="280">
        <f t="shared" si="14"/>
        <v>0</v>
      </c>
      <c r="AF44" s="271">
        <f t="shared" si="15"/>
        <v>0</v>
      </c>
      <c r="AG44" s="281"/>
    </row>
    <row r="45" spans="2:33" ht="12.75" customHeight="1" hidden="1">
      <c r="B45" s="271"/>
      <c r="C45" s="271">
        <f>Inscription!I44</f>
        <v>11</v>
      </c>
      <c r="D45" s="272" t="str">
        <f>Inscription!F44</f>
        <v>x</v>
      </c>
      <c r="E45" s="272">
        <f t="shared" si="16"/>
        <v>1</v>
      </c>
      <c r="F45" s="272">
        <f>Inscription!G44</f>
        <v>0</v>
      </c>
      <c r="G45" s="272">
        <f t="shared" si="17"/>
        <v>0</v>
      </c>
      <c r="H45" s="272"/>
      <c r="I45" s="277"/>
      <c r="J45" s="280">
        <f t="shared" si="0"/>
        <v>0</v>
      </c>
      <c r="K45" s="271">
        <f t="shared" si="1"/>
        <v>0</v>
      </c>
      <c r="L45" s="281"/>
      <c r="M45" s="280">
        <f t="shared" si="2"/>
        <v>0</v>
      </c>
      <c r="N45" s="271">
        <f t="shared" si="3"/>
        <v>0</v>
      </c>
      <c r="O45" s="281"/>
      <c r="P45" s="280">
        <f t="shared" si="4"/>
        <v>0</v>
      </c>
      <c r="Q45" s="271">
        <f t="shared" si="5"/>
        <v>0</v>
      </c>
      <c r="R45" s="281"/>
      <c r="S45" s="280">
        <f t="shared" si="6"/>
        <v>1</v>
      </c>
      <c r="T45" s="271">
        <f t="shared" si="7"/>
        <v>0</v>
      </c>
      <c r="U45" s="281"/>
      <c r="V45" s="280">
        <f t="shared" si="8"/>
        <v>0</v>
      </c>
      <c r="W45" s="271">
        <f t="shared" si="9"/>
        <v>0</v>
      </c>
      <c r="X45" s="281"/>
      <c r="Y45" s="280">
        <f t="shared" si="10"/>
        <v>0</v>
      </c>
      <c r="Z45" s="271">
        <f t="shared" si="11"/>
        <v>0</v>
      </c>
      <c r="AA45" s="281"/>
      <c r="AB45" s="280">
        <f t="shared" si="12"/>
        <v>0</v>
      </c>
      <c r="AC45" s="271">
        <f t="shared" si="13"/>
        <v>0</v>
      </c>
      <c r="AD45" s="281"/>
      <c r="AE45" s="280">
        <f t="shared" si="14"/>
        <v>0</v>
      </c>
      <c r="AF45" s="271">
        <f t="shared" si="15"/>
        <v>0</v>
      </c>
      <c r="AG45" s="281"/>
    </row>
    <row r="46" spans="2:33" ht="12.75" customHeight="1" hidden="1">
      <c r="B46" s="271"/>
      <c r="C46" s="271">
        <f>Inscription!I45</f>
        <v>12</v>
      </c>
      <c r="D46" s="272" t="str">
        <f>Inscription!F45</f>
        <v>x</v>
      </c>
      <c r="E46" s="272">
        <f t="shared" si="16"/>
        <v>1</v>
      </c>
      <c r="F46" s="272">
        <f>Inscription!G45</f>
        <v>0</v>
      </c>
      <c r="G46" s="272">
        <f t="shared" si="17"/>
        <v>0</v>
      </c>
      <c r="H46" s="272"/>
      <c r="I46" s="277"/>
      <c r="J46" s="280">
        <f t="shared" si="0"/>
        <v>0</v>
      </c>
      <c r="K46" s="271">
        <f t="shared" si="1"/>
        <v>0</v>
      </c>
      <c r="L46" s="281"/>
      <c r="M46" s="280">
        <f t="shared" si="2"/>
        <v>0</v>
      </c>
      <c r="N46" s="271">
        <f t="shared" si="3"/>
        <v>0</v>
      </c>
      <c r="O46" s="281"/>
      <c r="P46" s="280">
        <f t="shared" si="4"/>
        <v>0</v>
      </c>
      <c r="Q46" s="271">
        <f t="shared" si="5"/>
        <v>0</v>
      </c>
      <c r="R46" s="281"/>
      <c r="S46" s="280">
        <f t="shared" si="6"/>
        <v>0</v>
      </c>
      <c r="T46" s="271">
        <f t="shared" si="7"/>
        <v>0</v>
      </c>
      <c r="U46" s="281"/>
      <c r="V46" s="280">
        <f t="shared" si="8"/>
        <v>1</v>
      </c>
      <c r="W46" s="271">
        <f t="shared" si="9"/>
        <v>0</v>
      </c>
      <c r="X46" s="281"/>
      <c r="Y46" s="280">
        <f t="shared" si="10"/>
        <v>0</v>
      </c>
      <c r="Z46" s="271">
        <f t="shared" si="11"/>
        <v>0</v>
      </c>
      <c r="AA46" s="281"/>
      <c r="AB46" s="280">
        <f t="shared" si="12"/>
        <v>0</v>
      </c>
      <c r="AC46" s="271">
        <f t="shared" si="13"/>
        <v>0</v>
      </c>
      <c r="AD46" s="281"/>
      <c r="AE46" s="280">
        <f t="shared" si="14"/>
        <v>0</v>
      </c>
      <c r="AF46" s="271">
        <f t="shared" si="15"/>
        <v>0</v>
      </c>
      <c r="AG46" s="281"/>
    </row>
    <row r="47" spans="2:33" ht="12.75" customHeight="1" hidden="1">
      <c r="B47" s="271"/>
      <c r="C47" s="271">
        <f>Inscription!I46</f>
        <v>12</v>
      </c>
      <c r="D47" s="272" t="str">
        <f>Inscription!F46</f>
        <v>x</v>
      </c>
      <c r="E47" s="272">
        <f t="shared" si="16"/>
        <v>1</v>
      </c>
      <c r="F47" s="272">
        <f>Inscription!G46</f>
        <v>0</v>
      </c>
      <c r="G47" s="272">
        <f t="shared" si="17"/>
        <v>0</v>
      </c>
      <c r="H47" s="272"/>
      <c r="I47" s="277"/>
      <c r="J47" s="280"/>
      <c r="K47" s="271"/>
      <c r="L47" s="281"/>
      <c r="M47" s="280"/>
      <c r="N47" s="271"/>
      <c r="O47" s="281"/>
      <c r="P47" s="280"/>
      <c r="Q47" s="271"/>
      <c r="R47" s="281"/>
      <c r="S47" s="280"/>
      <c r="T47" s="271"/>
      <c r="U47" s="281"/>
      <c r="V47" s="280"/>
      <c r="W47" s="271"/>
      <c r="X47" s="281"/>
      <c r="Y47" s="280"/>
      <c r="Z47" s="271"/>
      <c r="AA47" s="281"/>
      <c r="AB47" s="280"/>
      <c r="AC47" s="271"/>
      <c r="AD47" s="281"/>
      <c r="AE47" s="280"/>
      <c r="AF47" s="271"/>
      <c r="AG47" s="281"/>
    </row>
    <row r="48" spans="2:33" ht="12.75" customHeight="1" hidden="1">
      <c r="B48" s="271"/>
      <c r="C48" s="271">
        <f>Inscription!I47</f>
        <v>13</v>
      </c>
      <c r="D48" s="272" t="str">
        <f>Inscription!F47</f>
        <v>x</v>
      </c>
      <c r="E48" s="272">
        <f t="shared" si="16"/>
        <v>1</v>
      </c>
      <c r="F48" s="272">
        <f>Inscription!G47</f>
        <v>0</v>
      </c>
      <c r="G48" s="272">
        <f t="shared" si="17"/>
        <v>0</v>
      </c>
      <c r="H48" s="272"/>
      <c r="I48" s="277"/>
      <c r="J48" s="280"/>
      <c r="K48" s="271"/>
      <c r="L48" s="281"/>
      <c r="M48" s="280"/>
      <c r="N48" s="271"/>
      <c r="O48" s="281"/>
      <c r="P48" s="280"/>
      <c r="Q48" s="271"/>
      <c r="R48" s="281"/>
      <c r="S48" s="280"/>
      <c r="T48" s="271"/>
      <c r="U48" s="281"/>
      <c r="V48" s="280"/>
      <c r="W48" s="271"/>
      <c r="X48" s="281"/>
      <c r="Y48" s="280"/>
      <c r="Z48" s="271"/>
      <c r="AA48" s="281"/>
      <c r="AB48" s="280"/>
      <c r="AC48" s="271"/>
      <c r="AD48" s="281"/>
      <c r="AE48" s="280"/>
      <c r="AF48" s="271"/>
      <c r="AG48" s="281"/>
    </row>
    <row r="49" spans="2:33" ht="12.75" customHeight="1" hidden="1">
      <c r="B49" s="271"/>
      <c r="C49" s="271">
        <f>Inscription!I48</f>
        <v>9</v>
      </c>
      <c r="D49" s="272" t="str">
        <f>Inscription!F48</f>
        <v>x</v>
      </c>
      <c r="E49" s="272">
        <f t="shared" si="16"/>
        <v>1</v>
      </c>
      <c r="F49" s="272">
        <f>Inscription!G48</f>
        <v>0</v>
      </c>
      <c r="G49" s="272">
        <f t="shared" si="17"/>
        <v>0</v>
      </c>
      <c r="H49" s="272"/>
      <c r="I49" s="277"/>
      <c r="J49" s="280"/>
      <c r="K49" s="271"/>
      <c r="L49" s="281"/>
      <c r="M49" s="280"/>
      <c r="N49" s="271"/>
      <c r="O49" s="281"/>
      <c r="P49" s="280"/>
      <c r="Q49" s="271"/>
      <c r="R49" s="281"/>
      <c r="S49" s="280"/>
      <c r="T49" s="271"/>
      <c r="U49" s="281"/>
      <c r="V49" s="280"/>
      <c r="W49" s="271"/>
      <c r="X49" s="281"/>
      <c r="Y49" s="280"/>
      <c r="Z49" s="271"/>
      <c r="AA49" s="281"/>
      <c r="AB49" s="280"/>
      <c r="AC49" s="271"/>
      <c r="AD49" s="281"/>
      <c r="AE49" s="280"/>
      <c r="AF49" s="271"/>
      <c r="AG49" s="281"/>
    </row>
    <row r="50" spans="2:33" ht="12.75" customHeight="1" hidden="1">
      <c r="B50" s="271"/>
      <c r="C50" s="271">
        <f>Inscription!I49</f>
        <v>10</v>
      </c>
      <c r="D50" s="272" t="str">
        <f>Inscription!F49</f>
        <v>x</v>
      </c>
      <c r="E50" s="272">
        <f t="shared" si="16"/>
        <v>1</v>
      </c>
      <c r="F50" s="272">
        <f>Inscription!G49</f>
        <v>0</v>
      </c>
      <c r="G50" s="272">
        <f t="shared" si="17"/>
        <v>0</v>
      </c>
      <c r="H50" s="272"/>
      <c r="I50" s="277"/>
      <c r="J50" s="280"/>
      <c r="K50" s="271"/>
      <c r="L50" s="281"/>
      <c r="M50" s="280"/>
      <c r="N50" s="271"/>
      <c r="O50" s="281"/>
      <c r="P50" s="280"/>
      <c r="Q50" s="271"/>
      <c r="R50" s="281"/>
      <c r="S50" s="280"/>
      <c r="T50" s="271"/>
      <c r="U50" s="281"/>
      <c r="V50" s="280"/>
      <c r="W50" s="271"/>
      <c r="X50" s="281"/>
      <c r="Y50" s="280"/>
      <c r="Z50" s="271"/>
      <c r="AA50" s="281"/>
      <c r="AB50" s="280"/>
      <c r="AC50" s="271"/>
      <c r="AD50" s="281"/>
      <c r="AE50" s="280"/>
      <c r="AF50" s="271"/>
      <c r="AG50" s="281"/>
    </row>
    <row r="51" spans="2:33" ht="12.75" customHeight="1" hidden="1">
      <c r="B51" s="271"/>
      <c r="C51" s="271">
        <f>Inscription!I50</f>
        <v>9</v>
      </c>
      <c r="D51" s="272">
        <f>Inscription!F50</f>
        <v>0</v>
      </c>
      <c r="E51" s="272">
        <f t="shared" si="16"/>
        <v>0</v>
      </c>
      <c r="F51" s="272" t="str">
        <f>Inscription!G50</f>
        <v>x</v>
      </c>
      <c r="G51" s="272">
        <f t="shared" si="17"/>
        <v>1</v>
      </c>
      <c r="H51" s="272"/>
      <c r="I51" s="277"/>
      <c r="J51" s="280"/>
      <c r="K51" s="271"/>
      <c r="L51" s="281"/>
      <c r="M51" s="280"/>
      <c r="N51" s="271"/>
      <c r="O51" s="281"/>
      <c r="P51" s="280"/>
      <c r="Q51" s="271"/>
      <c r="R51" s="281"/>
      <c r="S51" s="280"/>
      <c r="T51" s="271"/>
      <c r="U51" s="281"/>
      <c r="V51" s="280"/>
      <c r="W51" s="271"/>
      <c r="X51" s="281"/>
      <c r="Y51" s="280"/>
      <c r="Z51" s="271"/>
      <c r="AA51" s="281"/>
      <c r="AB51" s="280"/>
      <c r="AC51" s="271"/>
      <c r="AD51" s="281"/>
      <c r="AE51" s="280"/>
      <c r="AF51" s="271"/>
      <c r="AG51" s="281"/>
    </row>
    <row r="52" spans="2:33" ht="12.75" customHeight="1" hidden="1">
      <c r="B52" s="271"/>
      <c r="C52" s="271">
        <f>Inscription!I51</f>
        <v>8</v>
      </c>
      <c r="D52" s="272" t="str">
        <f>Inscription!F51</f>
        <v>x</v>
      </c>
      <c r="E52" s="272">
        <f t="shared" si="16"/>
        <v>1</v>
      </c>
      <c r="F52" s="272">
        <f>Inscription!G51</f>
        <v>0</v>
      </c>
      <c r="G52" s="272">
        <f t="shared" si="17"/>
        <v>0</v>
      </c>
      <c r="H52" s="272"/>
      <c r="I52" s="277"/>
      <c r="J52" s="280"/>
      <c r="K52" s="271"/>
      <c r="L52" s="281"/>
      <c r="M52" s="280"/>
      <c r="N52" s="271"/>
      <c r="O52" s="281"/>
      <c r="P52" s="280"/>
      <c r="Q52" s="271"/>
      <c r="R52" s="281"/>
      <c r="S52" s="280"/>
      <c r="T52" s="271"/>
      <c r="U52" s="281"/>
      <c r="V52" s="280"/>
      <c r="W52" s="271"/>
      <c r="X52" s="281"/>
      <c r="Y52" s="280"/>
      <c r="Z52" s="271"/>
      <c r="AA52" s="281"/>
      <c r="AB52" s="280"/>
      <c r="AC52" s="271"/>
      <c r="AD52" s="281"/>
      <c r="AE52" s="280"/>
      <c r="AF52" s="271"/>
      <c r="AG52" s="281"/>
    </row>
    <row r="53" spans="2:33" ht="12.75" customHeight="1" hidden="1">
      <c r="B53" s="271"/>
      <c r="C53" s="271">
        <f>Inscription!I52</f>
        <v>9</v>
      </c>
      <c r="D53" s="272" t="str">
        <f>Inscription!F52</f>
        <v>x</v>
      </c>
      <c r="E53" s="272">
        <f t="shared" si="16"/>
        <v>1</v>
      </c>
      <c r="F53" s="272">
        <f>Inscription!G52</f>
        <v>0</v>
      </c>
      <c r="G53" s="272">
        <f t="shared" si="17"/>
        <v>0</v>
      </c>
      <c r="H53" s="272"/>
      <c r="I53" s="277"/>
      <c r="J53" s="280"/>
      <c r="K53" s="271"/>
      <c r="L53" s="281"/>
      <c r="M53" s="280"/>
      <c r="N53" s="271"/>
      <c r="O53" s="281"/>
      <c r="P53" s="280"/>
      <c r="Q53" s="271"/>
      <c r="R53" s="281"/>
      <c r="S53" s="280"/>
      <c r="T53" s="271"/>
      <c r="U53" s="281"/>
      <c r="V53" s="280"/>
      <c r="W53" s="271"/>
      <c r="X53" s="281"/>
      <c r="Y53" s="280"/>
      <c r="Z53" s="271"/>
      <c r="AA53" s="281"/>
      <c r="AB53" s="280"/>
      <c r="AC53" s="271"/>
      <c r="AD53" s="281"/>
      <c r="AE53" s="280"/>
      <c r="AF53" s="271"/>
      <c r="AG53" s="281"/>
    </row>
    <row r="54" spans="2:33" ht="12.75" customHeight="1" hidden="1">
      <c r="B54" s="271"/>
      <c r="C54" s="271">
        <f>Inscription!I53</f>
        <v>8</v>
      </c>
      <c r="D54" s="272" t="str">
        <f>Inscription!F53</f>
        <v>x</v>
      </c>
      <c r="E54" s="272">
        <f t="shared" si="16"/>
        <v>1</v>
      </c>
      <c r="F54" s="272">
        <f>Inscription!G53</f>
        <v>0</v>
      </c>
      <c r="G54" s="272">
        <f t="shared" si="17"/>
        <v>0</v>
      </c>
      <c r="H54" s="272"/>
      <c r="I54" s="277"/>
      <c r="J54" s="280"/>
      <c r="K54" s="271"/>
      <c r="L54" s="281"/>
      <c r="M54" s="280"/>
      <c r="N54" s="271"/>
      <c r="O54" s="281"/>
      <c r="P54" s="280"/>
      <c r="Q54" s="271"/>
      <c r="R54" s="281"/>
      <c r="S54" s="280"/>
      <c r="T54" s="271"/>
      <c r="U54" s="281"/>
      <c r="V54" s="280"/>
      <c r="W54" s="271"/>
      <c r="X54" s="281"/>
      <c r="Y54" s="280"/>
      <c r="Z54" s="271"/>
      <c r="AA54" s="281"/>
      <c r="AB54" s="280"/>
      <c r="AC54" s="271"/>
      <c r="AD54" s="281"/>
      <c r="AE54" s="280"/>
      <c r="AF54" s="271"/>
      <c r="AG54" s="281"/>
    </row>
    <row r="55" spans="2:33" ht="12.75" customHeight="1" hidden="1">
      <c r="B55" s="271"/>
      <c r="C55" s="271">
        <f>Inscription!I54</f>
        <v>10</v>
      </c>
      <c r="D55" s="272" t="str">
        <f>Inscription!F54</f>
        <v>x</v>
      </c>
      <c r="E55" s="272">
        <f t="shared" si="16"/>
        <v>1</v>
      </c>
      <c r="F55" s="272">
        <f>Inscription!G54</f>
        <v>0</v>
      </c>
      <c r="G55" s="272">
        <f t="shared" si="17"/>
        <v>0</v>
      </c>
      <c r="H55" s="272"/>
      <c r="I55" s="277"/>
      <c r="J55" s="280"/>
      <c r="K55" s="271"/>
      <c r="L55" s="281"/>
      <c r="M55" s="280"/>
      <c r="N55" s="271"/>
      <c r="O55" s="281"/>
      <c r="P55" s="280"/>
      <c r="Q55" s="271"/>
      <c r="R55" s="281"/>
      <c r="S55" s="280"/>
      <c r="T55" s="271"/>
      <c r="U55" s="281"/>
      <c r="V55" s="280"/>
      <c r="W55" s="271"/>
      <c r="X55" s="281"/>
      <c r="Y55" s="280"/>
      <c r="Z55" s="271"/>
      <c r="AA55" s="281"/>
      <c r="AB55" s="280"/>
      <c r="AC55" s="271"/>
      <c r="AD55" s="281"/>
      <c r="AE55" s="280"/>
      <c r="AF55" s="271"/>
      <c r="AG55" s="281"/>
    </row>
    <row r="56" spans="2:33" ht="12.75" customHeight="1" hidden="1">
      <c r="B56" s="271"/>
      <c r="C56" s="271">
        <f>Inscription!I55</f>
        <v>13</v>
      </c>
      <c r="D56" s="272">
        <f>Inscription!F55</f>
        <v>0</v>
      </c>
      <c r="E56" s="272">
        <f t="shared" si="16"/>
        <v>0</v>
      </c>
      <c r="F56" s="272" t="str">
        <f>Inscription!G55</f>
        <v>x</v>
      </c>
      <c r="G56" s="272">
        <f t="shared" si="17"/>
        <v>1</v>
      </c>
      <c r="H56" s="272"/>
      <c r="I56" s="277"/>
      <c r="J56" s="280"/>
      <c r="K56" s="271"/>
      <c r="L56" s="281"/>
      <c r="M56" s="280"/>
      <c r="N56" s="271"/>
      <c r="O56" s="281"/>
      <c r="P56" s="280"/>
      <c r="Q56" s="271"/>
      <c r="R56" s="281"/>
      <c r="S56" s="280"/>
      <c r="T56" s="271"/>
      <c r="U56" s="281"/>
      <c r="V56" s="280"/>
      <c r="W56" s="271"/>
      <c r="X56" s="281"/>
      <c r="Y56" s="280"/>
      <c r="Z56" s="271"/>
      <c r="AA56" s="281"/>
      <c r="AB56" s="280"/>
      <c r="AC56" s="271"/>
      <c r="AD56" s="281"/>
      <c r="AE56" s="280"/>
      <c r="AF56" s="271"/>
      <c r="AG56" s="281"/>
    </row>
    <row r="57" spans="2:33" ht="12.75" customHeight="1" hidden="1">
      <c r="B57" s="271"/>
      <c r="C57" s="271">
        <f>Inscription!I56</f>
        <v>12</v>
      </c>
      <c r="D57" s="272" t="str">
        <f>Inscription!F56</f>
        <v>x</v>
      </c>
      <c r="E57" s="272">
        <f t="shared" si="16"/>
        <v>1</v>
      </c>
      <c r="F57" s="272">
        <f>Inscription!G56</f>
        <v>0</v>
      </c>
      <c r="G57" s="272">
        <f t="shared" si="17"/>
        <v>0</v>
      </c>
      <c r="H57" s="272"/>
      <c r="I57" s="277"/>
      <c r="J57" s="280"/>
      <c r="K57" s="271"/>
      <c r="L57" s="281"/>
      <c r="M57" s="280"/>
      <c r="N57" s="271"/>
      <c r="O57" s="281"/>
      <c r="P57" s="280"/>
      <c r="Q57" s="271"/>
      <c r="R57" s="281"/>
      <c r="S57" s="280"/>
      <c r="T57" s="271"/>
      <c r="U57" s="281"/>
      <c r="V57" s="280"/>
      <c r="W57" s="271"/>
      <c r="X57" s="281"/>
      <c r="Y57" s="280"/>
      <c r="Z57" s="271"/>
      <c r="AA57" s="281"/>
      <c r="AB57" s="280"/>
      <c r="AC57" s="271"/>
      <c r="AD57" s="281"/>
      <c r="AE57" s="280"/>
      <c r="AF57" s="271"/>
      <c r="AG57" s="281"/>
    </row>
    <row r="58" spans="2:33" ht="12.75" customHeight="1" hidden="1">
      <c r="B58" s="271"/>
      <c r="C58" s="271">
        <f>Inscription!I57</f>
        <v>10</v>
      </c>
      <c r="D58" s="272" t="str">
        <f>Inscription!F57</f>
        <v>x</v>
      </c>
      <c r="E58" s="272">
        <f t="shared" si="16"/>
        <v>1</v>
      </c>
      <c r="F58" s="272">
        <f>Inscription!G57</f>
        <v>0</v>
      </c>
      <c r="G58" s="272">
        <f t="shared" si="17"/>
        <v>0</v>
      </c>
      <c r="H58" s="272"/>
      <c r="I58" s="277"/>
      <c r="J58" s="280"/>
      <c r="K58" s="271"/>
      <c r="L58" s="281"/>
      <c r="M58" s="280"/>
      <c r="N58" s="271"/>
      <c r="O58" s="281"/>
      <c r="P58" s="280"/>
      <c r="Q58" s="271"/>
      <c r="R58" s="281"/>
      <c r="S58" s="280"/>
      <c r="T58" s="271"/>
      <c r="U58" s="281"/>
      <c r="V58" s="280"/>
      <c r="W58" s="271"/>
      <c r="X58" s="281"/>
      <c r="Y58" s="280"/>
      <c r="Z58" s="271"/>
      <c r="AA58" s="281"/>
      <c r="AB58" s="280"/>
      <c r="AC58" s="271"/>
      <c r="AD58" s="281"/>
      <c r="AE58" s="280"/>
      <c r="AF58" s="271"/>
      <c r="AG58" s="281"/>
    </row>
    <row r="59" spans="2:33" ht="12.75" customHeight="1" hidden="1">
      <c r="B59" s="271"/>
      <c r="C59" s="271">
        <f>Inscription!I58</f>
        <v>10</v>
      </c>
      <c r="D59" s="272" t="str">
        <f>Inscription!F58</f>
        <v>x</v>
      </c>
      <c r="E59" s="272">
        <f t="shared" si="16"/>
        <v>1</v>
      </c>
      <c r="F59" s="272">
        <f>Inscription!G58</f>
        <v>0</v>
      </c>
      <c r="G59" s="272">
        <f t="shared" si="17"/>
        <v>0</v>
      </c>
      <c r="H59" s="272"/>
      <c r="I59" s="277"/>
      <c r="J59" s="280"/>
      <c r="K59" s="271"/>
      <c r="L59" s="281"/>
      <c r="M59" s="280"/>
      <c r="N59" s="271"/>
      <c r="O59" s="281"/>
      <c r="P59" s="280"/>
      <c r="Q59" s="271"/>
      <c r="R59" s="281"/>
      <c r="S59" s="280"/>
      <c r="T59" s="271"/>
      <c r="U59" s="281"/>
      <c r="V59" s="280"/>
      <c r="W59" s="271"/>
      <c r="X59" s="281"/>
      <c r="Y59" s="280"/>
      <c r="Z59" s="271"/>
      <c r="AA59" s="281"/>
      <c r="AB59" s="280"/>
      <c r="AC59" s="271"/>
      <c r="AD59" s="281"/>
      <c r="AE59" s="280"/>
      <c r="AF59" s="271"/>
      <c r="AG59" s="281"/>
    </row>
    <row r="60" spans="2:33" ht="12.75" customHeight="1" hidden="1">
      <c r="B60" s="271"/>
      <c r="C60" s="271">
        <f>Inscription!I59</f>
        <v>11</v>
      </c>
      <c r="D60" s="272" t="str">
        <f>Inscription!F59</f>
        <v>x</v>
      </c>
      <c r="E60" s="272">
        <f t="shared" si="16"/>
        <v>1</v>
      </c>
      <c r="F60" s="272">
        <f>Inscription!G59</f>
        <v>0</v>
      </c>
      <c r="G60" s="272">
        <f t="shared" si="17"/>
        <v>0</v>
      </c>
      <c r="H60" s="272"/>
      <c r="I60" s="277"/>
      <c r="J60" s="280"/>
      <c r="K60" s="271"/>
      <c r="L60" s="281"/>
      <c r="M60" s="280"/>
      <c r="N60" s="271"/>
      <c r="O60" s="281"/>
      <c r="P60" s="280"/>
      <c r="Q60" s="271"/>
      <c r="R60" s="281"/>
      <c r="S60" s="280"/>
      <c r="T60" s="271"/>
      <c r="U60" s="281"/>
      <c r="V60" s="280"/>
      <c r="W60" s="271"/>
      <c r="X60" s="281"/>
      <c r="Y60" s="280"/>
      <c r="Z60" s="271"/>
      <c r="AA60" s="281"/>
      <c r="AB60" s="280"/>
      <c r="AC60" s="271"/>
      <c r="AD60" s="281"/>
      <c r="AE60" s="280"/>
      <c r="AF60" s="271"/>
      <c r="AG60" s="281"/>
    </row>
    <row r="61" spans="2:33" ht="12.75" customHeight="1" hidden="1">
      <c r="B61" s="271"/>
      <c r="C61" s="271" t="str">
        <f>Inscription!I60</f>
        <v>?</v>
      </c>
      <c r="D61" s="272">
        <f>Inscription!F60</f>
        <v>0</v>
      </c>
      <c r="E61" s="272">
        <f t="shared" si="16"/>
        <v>0</v>
      </c>
      <c r="F61" s="272">
        <f>Inscription!G60</f>
        <v>0</v>
      </c>
      <c r="G61" s="272">
        <f t="shared" si="17"/>
        <v>0</v>
      </c>
      <c r="H61" s="272"/>
      <c r="I61" s="277"/>
      <c r="J61" s="280"/>
      <c r="K61" s="271"/>
      <c r="L61" s="281"/>
      <c r="M61" s="280"/>
      <c r="N61" s="271"/>
      <c r="O61" s="281"/>
      <c r="P61" s="280"/>
      <c r="Q61" s="271"/>
      <c r="R61" s="281"/>
      <c r="S61" s="280"/>
      <c r="T61" s="271"/>
      <c r="U61" s="281"/>
      <c r="V61" s="280"/>
      <c r="W61" s="271"/>
      <c r="X61" s="281"/>
      <c r="Y61" s="280"/>
      <c r="Z61" s="271"/>
      <c r="AA61" s="281"/>
      <c r="AB61" s="280"/>
      <c r="AC61" s="271"/>
      <c r="AD61" s="281"/>
      <c r="AE61" s="280"/>
      <c r="AF61" s="271"/>
      <c r="AG61" s="281"/>
    </row>
    <row r="62" spans="2:33" ht="12.75" customHeight="1" hidden="1">
      <c r="B62" s="271"/>
      <c r="C62" s="271" t="str">
        <f>Inscription!I61</f>
        <v>?</v>
      </c>
      <c r="D62" s="272">
        <f>Inscription!F61</f>
        <v>0</v>
      </c>
      <c r="E62" s="272">
        <f t="shared" si="16"/>
        <v>0</v>
      </c>
      <c r="F62" s="272">
        <f>Inscription!G61</f>
        <v>0</v>
      </c>
      <c r="G62" s="272">
        <f t="shared" si="17"/>
        <v>0</v>
      </c>
      <c r="H62" s="272"/>
      <c r="I62" s="277"/>
      <c r="J62" s="280"/>
      <c r="K62" s="271"/>
      <c r="L62" s="281"/>
      <c r="M62" s="280"/>
      <c r="N62" s="271"/>
      <c r="O62" s="281"/>
      <c r="P62" s="280"/>
      <c r="Q62" s="271"/>
      <c r="R62" s="281"/>
      <c r="S62" s="280"/>
      <c r="T62" s="271"/>
      <c r="U62" s="281"/>
      <c r="V62" s="280"/>
      <c r="W62" s="271"/>
      <c r="X62" s="281"/>
      <c r="Y62" s="280"/>
      <c r="Z62" s="271"/>
      <c r="AA62" s="281"/>
      <c r="AB62" s="280"/>
      <c r="AC62" s="271"/>
      <c r="AD62" s="281"/>
      <c r="AE62" s="280"/>
      <c r="AF62" s="271"/>
      <c r="AG62" s="281"/>
    </row>
    <row r="63" spans="2:33" ht="12.75" customHeight="1" hidden="1">
      <c r="B63" s="271"/>
      <c r="C63" s="271" t="str">
        <f>Inscription!I62</f>
        <v>?</v>
      </c>
      <c r="D63" s="272">
        <f>Inscription!F62</f>
        <v>0</v>
      </c>
      <c r="E63" s="272">
        <f t="shared" si="16"/>
        <v>0</v>
      </c>
      <c r="F63" s="272">
        <f>Inscription!G62</f>
        <v>0</v>
      </c>
      <c r="G63" s="272">
        <f t="shared" si="17"/>
        <v>0</v>
      </c>
      <c r="H63" s="272"/>
      <c r="I63" s="277"/>
      <c r="J63" s="280"/>
      <c r="K63" s="271"/>
      <c r="L63" s="281"/>
      <c r="M63" s="280"/>
      <c r="N63" s="271"/>
      <c r="O63" s="281"/>
      <c r="P63" s="280"/>
      <c r="Q63" s="271"/>
      <c r="R63" s="281"/>
      <c r="S63" s="280"/>
      <c r="T63" s="271"/>
      <c r="U63" s="281"/>
      <c r="V63" s="280"/>
      <c r="W63" s="271"/>
      <c r="X63" s="281"/>
      <c r="Y63" s="280"/>
      <c r="Z63" s="271"/>
      <c r="AA63" s="281"/>
      <c r="AB63" s="280"/>
      <c r="AC63" s="271"/>
      <c r="AD63" s="281"/>
      <c r="AE63" s="280"/>
      <c r="AF63" s="271"/>
      <c r="AG63" s="281"/>
    </row>
    <row r="64" spans="2:33" ht="12.75" customHeight="1" hidden="1">
      <c r="B64" s="271"/>
      <c r="C64" s="271" t="str">
        <f>Inscription!I63</f>
        <v>?</v>
      </c>
      <c r="D64" s="272">
        <f>Inscription!F63</f>
        <v>0</v>
      </c>
      <c r="E64" s="272">
        <f t="shared" si="16"/>
        <v>0</v>
      </c>
      <c r="F64" s="272">
        <f>Inscription!G63</f>
        <v>0</v>
      </c>
      <c r="G64" s="272">
        <f t="shared" si="17"/>
        <v>0</v>
      </c>
      <c r="H64" s="272"/>
      <c r="I64" s="277"/>
      <c r="J64" s="280"/>
      <c r="K64" s="271"/>
      <c r="L64" s="281"/>
      <c r="M64" s="280"/>
      <c r="N64" s="271"/>
      <c r="O64" s="281"/>
      <c r="P64" s="280"/>
      <c r="Q64" s="271"/>
      <c r="R64" s="281"/>
      <c r="S64" s="280"/>
      <c r="T64" s="271"/>
      <c r="U64" s="281"/>
      <c r="V64" s="280"/>
      <c r="W64" s="271"/>
      <c r="X64" s="281"/>
      <c r="Y64" s="280"/>
      <c r="Z64" s="271"/>
      <c r="AA64" s="281"/>
      <c r="AB64" s="280"/>
      <c r="AC64" s="271"/>
      <c r="AD64" s="281"/>
      <c r="AE64" s="280"/>
      <c r="AF64" s="271"/>
      <c r="AG64" s="281"/>
    </row>
    <row r="65" spans="2:33" ht="12.75" customHeight="1" hidden="1">
      <c r="B65" s="271"/>
      <c r="C65" s="271" t="str">
        <f>Inscription!I64</f>
        <v>?</v>
      </c>
      <c r="D65" s="272">
        <f>Inscription!F64</f>
        <v>0</v>
      </c>
      <c r="E65" s="272">
        <f t="shared" si="16"/>
        <v>0</v>
      </c>
      <c r="F65" s="272">
        <f>Inscription!G64</f>
        <v>0</v>
      </c>
      <c r="G65" s="272">
        <f t="shared" si="17"/>
        <v>0</v>
      </c>
      <c r="H65" s="272"/>
      <c r="I65" s="277"/>
      <c r="J65" s="280"/>
      <c r="K65" s="271"/>
      <c r="L65" s="281"/>
      <c r="M65" s="280"/>
      <c r="N65" s="271"/>
      <c r="O65" s="281"/>
      <c r="P65" s="280"/>
      <c r="Q65" s="271"/>
      <c r="R65" s="281"/>
      <c r="S65" s="280"/>
      <c r="T65" s="271"/>
      <c r="U65" s="281"/>
      <c r="V65" s="280"/>
      <c r="W65" s="271"/>
      <c r="X65" s="281"/>
      <c r="Y65" s="280"/>
      <c r="Z65" s="271"/>
      <c r="AA65" s="281"/>
      <c r="AB65" s="280"/>
      <c r="AC65" s="271"/>
      <c r="AD65" s="281"/>
      <c r="AE65" s="280"/>
      <c r="AF65" s="271"/>
      <c r="AG65" s="281"/>
    </row>
    <row r="66" spans="2:33" ht="12.75" customHeight="1" hidden="1">
      <c r="B66" s="271"/>
      <c r="C66" s="271" t="str">
        <f>Inscription!I65</f>
        <v>?</v>
      </c>
      <c r="D66" s="272">
        <f>Inscription!F65</f>
        <v>0</v>
      </c>
      <c r="E66" s="272">
        <f t="shared" si="16"/>
        <v>0</v>
      </c>
      <c r="F66" s="272">
        <f>Inscription!G65</f>
        <v>0</v>
      </c>
      <c r="G66" s="272">
        <f t="shared" si="17"/>
        <v>0</v>
      </c>
      <c r="H66" s="272"/>
      <c r="I66" s="277"/>
      <c r="J66" s="280"/>
      <c r="K66" s="271"/>
      <c r="L66" s="281"/>
      <c r="M66" s="280"/>
      <c r="N66" s="271"/>
      <c r="O66" s="281"/>
      <c r="P66" s="280"/>
      <c r="Q66" s="271"/>
      <c r="R66" s="281"/>
      <c r="S66" s="280"/>
      <c r="T66" s="271"/>
      <c r="U66" s="281"/>
      <c r="V66" s="280"/>
      <c r="W66" s="271"/>
      <c r="X66" s="281"/>
      <c r="Y66" s="280"/>
      <c r="Z66" s="271"/>
      <c r="AA66" s="281"/>
      <c r="AB66" s="280"/>
      <c r="AC66" s="271"/>
      <c r="AD66" s="281"/>
      <c r="AE66" s="280"/>
      <c r="AF66" s="271"/>
      <c r="AG66" s="281"/>
    </row>
    <row r="67" spans="2:33" ht="12.75" customHeight="1" hidden="1">
      <c r="B67" s="271"/>
      <c r="C67" s="271" t="str">
        <f>Inscription!I66</f>
        <v>?</v>
      </c>
      <c r="D67" s="272">
        <f>Inscription!F66</f>
        <v>0</v>
      </c>
      <c r="E67" s="272">
        <f t="shared" si="16"/>
        <v>0</v>
      </c>
      <c r="F67" s="272">
        <f>Inscription!G66</f>
        <v>0</v>
      </c>
      <c r="G67" s="272">
        <f t="shared" si="17"/>
        <v>0</v>
      </c>
      <c r="H67" s="272"/>
      <c r="I67" s="277"/>
      <c r="J67" s="280"/>
      <c r="K67" s="271"/>
      <c r="L67" s="281"/>
      <c r="M67" s="280"/>
      <c r="N67" s="271"/>
      <c r="O67" s="281"/>
      <c r="P67" s="280"/>
      <c r="Q67" s="271"/>
      <c r="R67" s="281"/>
      <c r="S67" s="280"/>
      <c r="T67" s="271"/>
      <c r="U67" s="281"/>
      <c r="V67" s="280"/>
      <c r="W67" s="271"/>
      <c r="X67" s="281"/>
      <c r="Y67" s="280"/>
      <c r="Z67" s="271"/>
      <c r="AA67" s="281"/>
      <c r="AB67" s="280"/>
      <c r="AC67" s="271"/>
      <c r="AD67" s="281"/>
      <c r="AE67" s="280"/>
      <c r="AF67" s="271"/>
      <c r="AG67" s="281"/>
    </row>
    <row r="68" spans="2:33" ht="12.75" customHeight="1" hidden="1">
      <c r="B68" s="271"/>
      <c r="C68" s="271" t="str">
        <f>Inscription!I67</f>
        <v>?</v>
      </c>
      <c r="D68" s="272">
        <f>Inscription!F67</f>
        <v>0</v>
      </c>
      <c r="E68" s="272">
        <f t="shared" si="16"/>
        <v>0</v>
      </c>
      <c r="F68" s="272">
        <f>Inscription!G67</f>
        <v>0</v>
      </c>
      <c r="G68" s="272">
        <f t="shared" si="17"/>
        <v>0</v>
      </c>
      <c r="H68" s="272"/>
      <c r="I68" s="277"/>
      <c r="J68" s="280"/>
      <c r="K68" s="271"/>
      <c r="L68" s="281"/>
      <c r="M68" s="280"/>
      <c r="N68" s="271"/>
      <c r="O68" s="281"/>
      <c r="P68" s="280"/>
      <c r="Q68" s="271"/>
      <c r="R68" s="281"/>
      <c r="S68" s="280"/>
      <c r="T68" s="271"/>
      <c r="U68" s="281"/>
      <c r="V68" s="280"/>
      <c r="W68" s="271"/>
      <c r="X68" s="281"/>
      <c r="Y68" s="280"/>
      <c r="Z68" s="271"/>
      <c r="AA68" s="281"/>
      <c r="AB68" s="280"/>
      <c r="AC68" s="271"/>
      <c r="AD68" s="281"/>
      <c r="AE68" s="280"/>
      <c r="AF68" s="271"/>
      <c r="AG68" s="281"/>
    </row>
    <row r="69" spans="2:33" ht="12.75" customHeight="1" hidden="1">
      <c r="B69" s="271"/>
      <c r="C69" s="271" t="str">
        <f>Inscription!I68</f>
        <v>?</v>
      </c>
      <c r="D69" s="272">
        <f>Inscription!F68</f>
        <v>0</v>
      </c>
      <c r="E69" s="272">
        <f aca="true" t="shared" si="18" ref="E69:E132">IF(D69&lt;&gt;0,1,0)</f>
        <v>0</v>
      </c>
      <c r="F69" s="272">
        <f>Inscription!G68</f>
        <v>0</v>
      </c>
      <c r="G69" s="272">
        <f aca="true" t="shared" si="19" ref="G69:G132">IF(F69&lt;&gt;0,1,0)</f>
        <v>0</v>
      </c>
      <c r="H69" s="272"/>
      <c r="I69" s="277"/>
      <c r="J69" s="280"/>
      <c r="K69" s="271"/>
      <c r="L69" s="281"/>
      <c r="M69" s="280"/>
      <c r="N69" s="271"/>
      <c r="O69" s="281"/>
      <c r="P69" s="280"/>
      <c r="Q69" s="271"/>
      <c r="R69" s="281"/>
      <c r="S69" s="280"/>
      <c r="T69" s="271"/>
      <c r="U69" s="281"/>
      <c r="V69" s="280"/>
      <c r="W69" s="271"/>
      <c r="X69" s="281"/>
      <c r="Y69" s="280"/>
      <c r="Z69" s="271"/>
      <c r="AA69" s="281"/>
      <c r="AB69" s="280"/>
      <c r="AC69" s="271"/>
      <c r="AD69" s="281"/>
      <c r="AE69" s="280"/>
      <c r="AF69" s="271"/>
      <c r="AG69" s="281"/>
    </row>
    <row r="70" spans="2:33" ht="12.75" customHeight="1" hidden="1">
      <c r="B70" s="271"/>
      <c r="C70" s="271" t="str">
        <f>Inscription!I69</f>
        <v>?</v>
      </c>
      <c r="D70" s="272">
        <f>Inscription!F69</f>
        <v>0</v>
      </c>
      <c r="E70" s="272">
        <f t="shared" si="18"/>
        <v>0</v>
      </c>
      <c r="F70" s="272">
        <f>Inscription!G69</f>
        <v>0</v>
      </c>
      <c r="G70" s="272">
        <f t="shared" si="19"/>
        <v>0</v>
      </c>
      <c r="H70" s="272"/>
      <c r="I70" s="277"/>
      <c r="J70" s="280"/>
      <c r="K70" s="271"/>
      <c r="L70" s="281"/>
      <c r="M70" s="280"/>
      <c r="N70" s="271"/>
      <c r="O70" s="281"/>
      <c r="P70" s="280"/>
      <c r="Q70" s="271"/>
      <c r="R70" s="281"/>
      <c r="S70" s="280"/>
      <c r="T70" s="271"/>
      <c r="U70" s="281"/>
      <c r="V70" s="280"/>
      <c r="W70" s="271"/>
      <c r="X70" s="281"/>
      <c r="Y70" s="280"/>
      <c r="Z70" s="271"/>
      <c r="AA70" s="281"/>
      <c r="AB70" s="280"/>
      <c r="AC70" s="271"/>
      <c r="AD70" s="281"/>
      <c r="AE70" s="280"/>
      <c r="AF70" s="271"/>
      <c r="AG70" s="281"/>
    </row>
    <row r="71" spans="2:33" ht="12.75" customHeight="1" hidden="1">
      <c r="B71" s="271"/>
      <c r="C71" s="271" t="str">
        <f>Inscription!I70</f>
        <v>?</v>
      </c>
      <c r="D71" s="272">
        <f>Inscription!F70</f>
        <v>0</v>
      </c>
      <c r="E71" s="272">
        <f t="shared" si="18"/>
        <v>0</v>
      </c>
      <c r="F71" s="272">
        <f>Inscription!G70</f>
        <v>0</v>
      </c>
      <c r="G71" s="272">
        <f t="shared" si="19"/>
        <v>0</v>
      </c>
      <c r="H71" s="272"/>
      <c r="I71" s="277"/>
      <c r="J71" s="280"/>
      <c r="K71" s="271"/>
      <c r="L71" s="281"/>
      <c r="M71" s="280"/>
      <c r="N71" s="271"/>
      <c r="O71" s="281"/>
      <c r="P71" s="280"/>
      <c r="Q71" s="271"/>
      <c r="R71" s="281"/>
      <c r="S71" s="280"/>
      <c r="T71" s="271"/>
      <c r="U71" s="281"/>
      <c r="V71" s="280"/>
      <c r="W71" s="271"/>
      <c r="X71" s="281"/>
      <c r="Y71" s="280"/>
      <c r="Z71" s="271"/>
      <c r="AA71" s="281"/>
      <c r="AB71" s="280"/>
      <c r="AC71" s="271"/>
      <c r="AD71" s="281"/>
      <c r="AE71" s="280"/>
      <c r="AF71" s="271"/>
      <c r="AG71" s="281"/>
    </row>
    <row r="72" spans="2:33" ht="12.75" customHeight="1" hidden="1">
      <c r="B72" s="271"/>
      <c r="C72" s="271" t="str">
        <f>Inscription!I71</f>
        <v>?</v>
      </c>
      <c r="D72" s="272">
        <f>Inscription!F71</f>
        <v>0</v>
      </c>
      <c r="E72" s="272">
        <f t="shared" si="18"/>
        <v>0</v>
      </c>
      <c r="F72" s="272">
        <f>Inscription!G71</f>
        <v>0</v>
      </c>
      <c r="G72" s="272">
        <f t="shared" si="19"/>
        <v>0</v>
      </c>
      <c r="H72" s="272"/>
      <c r="I72" s="277"/>
      <c r="J72" s="280"/>
      <c r="K72" s="271"/>
      <c r="L72" s="281"/>
      <c r="M72" s="280"/>
      <c r="N72" s="271"/>
      <c r="O72" s="281"/>
      <c r="P72" s="280"/>
      <c r="Q72" s="271"/>
      <c r="R72" s="281"/>
      <c r="S72" s="280"/>
      <c r="T72" s="271"/>
      <c r="U72" s="281"/>
      <c r="V72" s="280"/>
      <c r="W72" s="271"/>
      <c r="X72" s="281"/>
      <c r="Y72" s="280"/>
      <c r="Z72" s="271"/>
      <c r="AA72" s="281"/>
      <c r="AB72" s="280"/>
      <c r="AC72" s="271"/>
      <c r="AD72" s="281"/>
      <c r="AE72" s="280"/>
      <c r="AF72" s="271"/>
      <c r="AG72" s="281"/>
    </row>
    <row r="73" spans="2:33" ht="12.75" customHeight="1" hidden="1">
      <c r="B73" s="271"/>
      <c r="C73" s="271" t="str">
        <f>Inscription!I72</f>
        <v>?</v>
      </c>
      <c r="D73" s="272">
        <f>Inscription!F72</f>
        <v>0</v>
      </c>
      <c r="E73" s="272">
        <f t="shared" si="18"/>
        <v>0</v>
      </c>
      <c r="F73" s="272">
        <f>Inscription!G72</f>
        <v>0</v>
      </c>
      <c r="G73" s="272">
        <f t="shared" si="19"/>
        <v>0</v>
      </c>
      <c r="H73" s="272"/>
      <c r="I73" s="277"/>
      <c r="J73" s="280"/>
      <c r="K73" s="271"/>
      <c r="L73" s="281"/>
      <c r="M73" s="280"/>
      <c r="N73" s="271"/>
      <c r="O73" s="281"/>
      <c r="P73" s="280"/>
      <c r="Q73" s="271"/>
      <c r="R73" s="281"/>
      <c r="S73" s="280"/>
      <c r="T73" s="271"/>
      <c r="U73" s="281"/>
      <c r="V73" s="280"/>
      <c r="W73" s="271"/>
      <c r="X73" s="281"/>
      <c r="Y73" s="280"/>
      <c r="Z73" s="271"/>
      <c r="AA73" s="281"/>
      <c r="AB73" s="280"/>
      <c r="AC73" s="271"/>
      <c r="AD73" s="281"/>
      <c r="AE73" s="280"/>
      <c r="AF73" s="271"/>
      <c r="AG73" s="281"/>
    </row>
    <row r="74" spans="2:33" ht="12.75" customHeight="1" hidden="1">
      <c r="B74" s="271"/>
      <c r="C74" s="271" t="str">
        <f>Inscription!I73</f>
        <v>?</v>
      </c>
      <c r="D74" s="272">
        <f>Inscription!F73</f>
        <v>0</v>
      </c>
      <c r="E74" s="272">
        <f t="shared" si="18"/>
        <v>0</v>
      </c>
      <c r="F74" s="272">
        <f>Inscription!G73</f>
        <v>0</v>
      </c>
      <c r="G74" s="272">
        <f t="shared" si="19"/>
        <v>0</v>
      </c>
      <c r="H74" s="272"/>
      <c r="I74" s="277"/>
      <c r="J74" s="280"/>
      <c r="K74" s="271"/>
      <c r="L74" s="281"/>
      <c r="M74" s="280"/>
      <c r="N74" s="271"/>
      <c r="O74" s="281"/>
      <c r="P74" s="280"/>
      <c r="Q74" s="271"/>
      <c r="R74" s="281"/>
      <c r="S74" s="280"/>
      <c r="T74" s="271"/>
      <c r="U74" s="281"/>
      <c r="V74" s="280"/>
      <c r="W74" s="271"/>
      <c r="X74" s="281"/>
      <c r="Y74" s="280"/>
      <c r="Z74" s="271"/>
      <c r="AA74" s="281"/>
      <c r="AB74" s="280"/>
      <c r="AC74" s="271"/>
      <c r="AD74" s="281"/>
      <c r="AE74" s="280"/>
      <c r="AF74" s="271"/>
      <c r="AG74" s="281"/>
    </row>
    <row r="75" spans="2:33" ht="12.75" customHeight="1" hidden="1">
      <c r="B75" s="271"/>
      <c r="C75" s="271" t="str">
        <f>Inscription!I74</f>
        <v>?</v>
      </c>
      <c r="D75" s="272">
        <f>Inscription!F74</f>
        <v>0</v>
      </c>
      <c r="E75" s="272">
        <f t="shared" si="18"/>
        <v>0</v>
      </c>
      <c r="F75" s="272">
        <f>Inscription!G74</f>
        <v>0</v>
      </c>
      <c r="G75" s="272">
        <f t="shared" si="19"/>
        <v>0</v>
      </c>
      <c r="H75" s="272"/>
      <c r="I75" s="277"/>
      <c r="J75" s="280"/>
      <c r="K75" s="271"/>
      <c r="L75" s="281"/>
      <c r="M75" s="280"/>
      <c r="N75" s="271"/>
      <c r="O75" s="281"/>
      <c r="P75" s="280"/>
      <c r="Q75" s="271"/>
      <c r="R75" s="281"/>
      <c r="S75" s="280"/>
      <c r="T75" s="271"/>
      <c r="U75" s="281"/>
      <c r="V75" s="280"/>
      <c r="W75" s="271"/>
      <c r="X75" s="281"/>
      <c r="Y75" s="280"/>
      <c r="Z75" s="271"/>
      <c r="AA75" s="281"/>
      <c r="AB75" s="280"/>
      <c r="AC75" s="271"/>
      <c r="AD75" s="281"/>
      <c r="AE75" s="280"/>
      <c r="AF75" s="271"/>
      <c r="AG75" s="281"/>
    </row>
    <row r="76" spans="2:33" ht="12.75" customHeight="1" hidden="1">
      <c r="B76" s="271"/>
      <c r="C76" s="271" t="str">
        <f>Inscription!I75</f>
        <v>?</v>
      </c>
      <c r="D76" s="272">
        <f>Inscription!F75</f>
        <v>0</v>
      </c>
      <c r="E76" s="272">
        <f t="shared" si="18"/>
        <v>0</v>
      </c>
      <c r="F76" s="272">
        <f>Inscription!G75</f>
        <v>0</v>
      </c>
      <c r="G76" s="272">
        <f t="shared" si="19"/>
        <v>0</v>
      </c>
      <c r="H76" s="272"/>
      <c r="I76" s="277"/>
      <c r="J76" s="280"/>
      <c r="K76" s="271"/>
      <c r="L76" s="281"/>
      <c r="M76" s="280"/>
      <c r="N76" s="271"/>
      <c r="O76" s="281"/>
      <c r="P76" s="280"/>
      <c r="Q76" s="271"/>
      <c r="R76" s="281"/>
      <c r="S76" s="280"/>
      <c r="T76" s="271"/>
      <c r="U76" s="281"/>
      <c r="V76" s="280"/>
      <c r="W76" s="271"/>
      <c r="X76" s="281"/>
      <c r="Y76" s="280"/>
      <c r="Z76" s="271"/>
      <c r="AA76" s="281"/>
      <c r="AB76" s="280"/>
      <c r="AC76" s="271"/>
      <c r="AD76" s="281"/>
      <c r="AE76" s="280"/>
      <c r="AF76" s="271"/>
      <c r="AG76" s="281"/>
    </row>
    <row r="77" spans="2:33" ht="12.75" customHeight="1" hidden="1">
      <c r="B77" s="271"/>
      <c r="C77" s="271" t="str">
        <f>Inscription!I76</f>
        <v>?</v>
      </c>
      <c r="D77" s="272">
        <f>Inscription!F76</f>
        <v>0</v>
      </c>
      <c r="E77" s="272">
        <f t="shared" si="18"/>
        <v>0</v>
      </c>
      <c r="F77" s="272">
        <f>Inscription!G76</f>
        <v>0</v>
      </c>
      <c r="G77" s="272">
        <f t="shared" si="19"/>
        <v>0</v>
      </c>
      <c r="H77" s="272"/>
      <c r="I77" s="277"/>
      <c r="J77" s="280"/>
      <c r="K77" s="271"/>
      <c r="L77" s="281"/>
      <c r="M77" s="280"/>
      <c r="N77" s="271"/>
      <c r="O77" s="281"/>
      <c r="P77" s="280"/>
      <c r="Q77" s="271"/>
      <c r="R77" s="281"/>
      <c r="S77" s="280"/>
      <c r="T77" s="271"/>
      <c r="U77" s="281"/>
      <c r="V77" s="280"/>
      <c r="W77" s="271"/>
      <c r="X77" s="281"/>
      <c r="Y77" s="280"/>
      <c r="Z77" s="271"/>
      <c r="AA77" s="281"/>
      <c r="AB77" s="280"/>
      <c r="AC77" s="271"/>
      <c r="AD77" s="281"/>
      <c r="AE77" s="280"/>
      <c r="AF77" s="271"/>
      <c r="AG77" s="281"/>
    </row>
    <row r="78" spans="2:33" ht="12.75" customHeight="1" hidden="1">
      <c r="B78" s="271"/>
      <c r="C78" s="271" t="str">
        <f>Inscription!I77</f>
        <v>?</v>
      </c>
      <c r="D78" s="272">
        <f>Inscription!F77</f>
        <v>0</v>
      </c>
      <c r="E78" s="272">
        <f t="shared" si="18"/>
        <v>0</v>
      </c>
      <c r="F78" s="272">
        <f>Inscription!G77</f>
        <v>0</v>
      </c>
      <c r="G78" s="272">
        <f t="shared" si="19"/>
        <v>0</v>
      </c>
      <c r="H78" s="272"/>
      <c r="I78" s="277"/>
      <c r="J78" s="280"/>
      <c r="K78" s="271"/>
      <c r="L78" s="281"/>
      <c r="M78" s="280"/>
      <c r="N78" s="271"/>
      <c r="O78" s="281"/>
      <c r="P78" s="280"/>
      <c r="Q78" s="271"/>
      <c r="R78" s="281"/>
      <c r="S78" s="280"/>
      <c r="T78" s="271"/>
      <c r="U78" s="281"/>
      <c r="V78" s="280"/>
      <c r="W78" s="271"/>
      <c r="X78" s="281"/>
      <c r="Y78" s="280"/>
      <c r="Z78" s="271"/>
      <c r="AA78" s="281"/>
      <c r="AB78" s="280"/>
      <c r="AC78" s="271"/>
      <c r="AD78" s="281"/>
      <c r="AE78" s="280"/>
      <c r="AF78" s="271"/>
      <c r="AG78" s="281"/>
    </row>
    <row r="79" spans="2:33" ht="12.75" customHeight="1" hidden="1">
      <c r="B79" s="271"/>
      <c r="C79" s="271" t="str">
        <f>Inscription!I78</f>
        <v>?</v>
      </c>
      <c r="D79" s="272">
        <f>Inscription!F78</f>
        <v>0</v>
      </c>
      <c r="E79" s="272">
        <f t="shared" si="18"/>
        <v>0</v>
      </c>
      <c r="F79" s="272">
        <f>Inscription!G78</f>
        <v>0</v>
      </c>
      <c r="G79" s="272">
        <f t="shared" si="19"/>
        <v>0</v>
      </c>
      <c r="H79" s="272"/>
      <c r="I79" s="277"/>
      <c r="J79" s="280"/>
      <c r="K79" s="271"/>
      <c r="L79" s="281"/>
      <c r="M79" s="280"/>
      <c r="N79" s="271"/>
      <c r="O79" s="281"/>
      <c r="P79" s="280"/>
      <c r="Q79" s="271"/>
      <c r="R79" s="281"/>
      <c r="S79" s="280"/>
      <c r="T79" s="271"/>
      <c r="U79" s="281"/>
      <c r="V79" s="280"/>
      <c r="W79" s="271"/>
      <c r="X79" s="281"/>
      <c r="Y79" s="280"/>
      <c r="Z79" s="271"/>
      <c r="AA79" s="281"/>
      <c r="AB79" s="280"/>
      <c r="AC79" s="271"/>
      <c r="AD79" s="281"/>
      <c r="AE79" s="280"/>
      <c r="AF79" s="271"/>
      <c r="AG79" s="281"/>
    </row>
    <row r="80" spans="2:33" ht="12.75" customHeight="1" hidden="1">
      <c r="B80" s="271"/>
      <c r="C80" s="271" t="str">
        <f>Inscription!I79</f>
        <v>?</v>
      </c>
      <c r="D80" s="272">
        <f>Inscription!F79</f>
        <v>0</v>
      </c>
      <c r="E80" s="272">
        <f t="shared" si="18"/>
        <v>0</v>
      </c>
      <c r="F80" s="272">
        <f>Inscription!G79</f>
        <v>0</v>
      </c>
      <c r="G80" s="272">
        <f t="shared" si="19"/>
        <v>0</v>
      </c>
      <c r="H80" s="272"/>
      <c r="I80" s="277"/>
      <c r="J80" s="280"/>
      <c r="K80" s="271"/>
      <c r="L80" s="281"/>
      <c r="M80" s="280"/>
      <c r="N80" s="271"/>
      <c r="O80" s="281"/>
      <c r="P80" s="280"/>
      <c r="Q80" s="271"/>
      <c r="R80" s="281"/>
      <c r="S80" s="280"/>
      <c r="T80" s="271"/>
      <c r="U80" s="281"/>
      <c r="V80" s="280"/>
      <c r="W80" s="271"/>
      <c r="X80" s="281"/>
      <c r="Y80" s="280"/>
      <c r="Z80" s="271"/>
      <c r="AA80" s="281"/>
      <c r="AB80" s="280"/>
      <c r="AC80" s="271"/>
      <c r="AD80" s="281"/>
      <c r="AE80" s="280"/>
      <c r="AF80" s="271"/>
      <c r="AG80" s="281"/>
    </row>
    <row r="81" spans="2:33" ht="12.75" customHeight="1" hidden="1">
      <c r="B81" s="271"/>
      <c r="C81" s="271" t="str">
        <f>Inscription!I80</f>
        <v>?</v>
      </c>
      <c r="D81" s="272">
        <f>Inscription!F80</f>
        <v>0</v>
      </c>
      <c r="E81" s="272">
        <f t="shared" si="18"/>
        <v>0</v>
      </c>
      <c r="F81" s="272">
        <f>Inscription!G80</f>
        <v>0</v>
      </c>
      <c r="G81" s="272">
        <f t="shared" si="19"/>
        <v>0</v>
      </c>
      <c r="H81" s="272"/>
      <c r="I81" s="277"/>
      <c r="J81" s="280"/>
      <c r="K81" s="271"/>
      <c r="L81" s="281"/>
      <c r="M81" s="280"/>
      <c r="N81" s="271"/>
      <c r="O81" s="281"/>
      <c r="P81" s="280"/>
      <c r="Q81" s="271"/>
      <c r="R81" s="281"/>
      <c r="S81" s="280"/>
      <c r="T81" s="271"/>
      <c r="U81" s="281"/>
      <c r="V81" s="280"/>
      <c r="W81" s="271"/>
      <c r="X81" s="281"/>
      <c r="Y81" s="280"/>
      <c r="Z81" s="271"/>
      <c r="AA81" s="281"/>
      <c r="AB81" s="280"/>
      <c r="AC81" s="271"/>
      <c r="AD81" s="281"/>
      <c r="AE81" s="280"/>
      <c r="AF81" s="271"/>
      <c r="AG81" s="281"/>
    </row>
    <row r="82" spans="2:33" ht="12.75" customHeight="1" hidden="1">
      <c r="B82" s="271"/>
      <c r="C82" s="271" t="str">
        <f>Inscription!I81</f>
        <v>?</v>
      </c>
      <c r="D82" s="272">
        <f>Inscription!F81</f>
        <v>0</v>
      </c>
      <c r="E82" s="272">
        <f t="shared" si="18"/>
        <v>0</v>
      </c>
      <c r="F82" s="272">
        <f>Inscription!G81</f>
        <v>0</v>
      </c>
      <c r="G82" s="272">
        <f t="shared" si="19"/>
        <v>0</v>
      </c>
      <c r="H82" s="272"/>
      <c r="I82" s="277"/>
      <c r="J82" s="280"/>
      <c r="K82" s="271"/>
      <c r="L82" s="281"/>
      <c r="M82" s="280"/>
      <c r="N82" s="271"/>
      <c r="O82" s="281"/>
      <c r="P82" s="280"/>
      <c r="Q82" s="271"/>
      <c r="R82" s="281"/>
      <c r="S82" s="280"/>
      <c r="T82" s="271"/>
      <c r="U82" s="281"/>
      <c r="V82" s="280"/>
      <c r="W82" s="271"/>
      <c r="X82" s="281"/>
      <c r="Y82" s="280"/>
      <c r="Z82" s="271"/>
      <c r="AA82" s="281"/>
      <c r="AB82" s="280"/>
      <c r="AC82" s="271"/>
      <c r="AD82" s="281"/>
      <c r="AE82" s="280"/>
      <c r="AF82" s="271"/>
      <c r="AG82" s="281"/>
    </row>
    <row r="83" spans="2:33" ht="12.75" customHeight="1" hidden="1">
      <c r="B83" s="271"/>
      <c r="C83" s="271" t="str">
        <f>Inscription!I82</f>
        <v>?</v>
      </c>
      <c r="D83" s="272">
        <f>Inscription!F82</f>
        <v>0</v>
      </c>
      <c r="E83" s="272">
        <f t="shared" si="18"/>
        <v>0</v>
      </c>
      <c r="F83" s="272">
        <f>Inscription!G82</f>
        <v>0</v>
      </c>
      <c r="G83" s="272">
        <f t="shared" si="19"/>
        <v>0</v>
      </c>
      <c r="H83" s="272"/>
      <c r="I83" s="277"/>
      <c r="J83" s="280"/>
      <c r="K83" s="271"/>
      <c r="L83" s="281"/>
      <c r="M83" s="280"/>
      <c r="N83" s="271"/>
      <c r="O83" s="281"/>
      <c r="P83" s="280"/>
      <c r="Q83" s="271"/>
      <c r="R83" s="281"/>
      <c r="S83" s="280"/>
      <c r="T83" s="271"/>
      <c r="U83" s="281"/>
      <c r="V83" s="280"/>
      <c r="W83" s="271"/>
      <c r="X83" s="281"/>
      <c r="Y83" s="280"/>
      <c r="Z83" s="271"/>
      <c r="AA83" s="281"/>
      <c r="AB83" s="280"/>
      <c r="AC83" s="271"/>
      <c r="AD83" s="281"/>
      <c r="AE83" s="280"/>
      <c r="AF83" s="271"/>
      <c r="AG83" s="281"/>
    </row>
    <row r="84" spans="2:33" ht="12.75" customHeight="1" hidden="1">
      <c r="B84" s="271"/>
      <c r="C84" s="271" t="str">
        <f>Inscription!I83</f>
        <v>?</v>
      </c>
      <c r="D84" s="272">
        <f>Inscription!F83</f>
        <v>0</v>
      </c>
      <c r="E84" s="272">
        <f t="shared" si="18"/>
        <v>0</v>
      </c>
      <c r="F84" s="272">
        <f>Inscription!G83</f>
        <v>0</v>
      </c>
      <c r="G84" s="272">
        <f t="shared" si="19"/>
        <v>0</v>
      </c>
      <c r="H84" s="272"/>
      <c r="I84" s="277"/>
      <c r="J84" s="280"/>
      <c r="K84" s="271"/>
      <c r="L84" s="281"/>
      <c r="M84" s="280"/>
      <c r="N84" s="271"/>
      <c r="O84" s="281"/>
      <c r="P84" s="280"/>
      <c r="Q84" s="271"/>
      <c r="R84" s="281"/>
      <c r="S84" s="280"/>
      <c r="T84" s="271"/>
      <c r="U84" s="281"/>
      <c r="V84" s="280"/>
      <c r="W84" s="271"/>
      <c r="X84" s="281"/>
      <c r="Y84" s="280"/>
      <c r="Z84" s="271"/>
      <c r="AA84" s="281"/>
      <c r="AB84" s="280"/>
      <c r="AC84" s="271"/>
      <c r="AD84" s="281"/>
      <c r="AE84" s="280"/>
      <c r="AF84" s="271"/>
      <c r="AG84" s="281"/>
    </row>
    <row r="85" spans="2:33" ht="12.75" customHeight="1" hidden="1">
      <c r="B85" s="271"/>
      <c r="C85" s="271" t="str">
        <f>Inscription!I84</f>
        <v>?</v>
      </c>
      <c r="D85" s="272">
        <f>Inscription!F84</f>
        <v>0</v>
      </c>
      <c r="E85" s="272">
        <f t="shared" si="18"/>
        <v>0</v>
      </c>
      <c r="F85" s="272">
        <f>Inscription!G84</f>
        <v>0</v>
      </c>
      <c r="G85" s="272">
        <f t="shared" si="19"/>
        <v>0</v>
      </c>
      <c r="H85" s="272"/>
      <c r="I85" s="277"/>
      <c r="J85" s="280"/>
      <c r="K85" s="271"/>
      <c r="L85" s="281"/>
      <c r="M85" s="280"/>
      <c r="N85" s="271"/>
      <c r="O85" s="281"/>
      <c r="P85" s="280"/>
      <c r="Q85" s="271"/>
      <c r="R85" s="281"/>
      <c r="S85" s="280"/>
      <c r="T85" s="271"/>
      <c r="U85" s="281"/>
      <c r="V85" s="280"/>
      <c r="W85" s="271"/>
      <c r="X85" s="281"/>
      <c r="Y85" s="280"/>
      <c r="Z85" s="271"/>
      <c r="AA85" s="281"/>
      <c r="AB85" s="280"/>
      <c r="AC85" s="271"/>
      <c r="AD85" s="281"/>
      <c r="AE85" s="280"/>
      <c r="AF85" s="271"/>
      <c r="AG85" s="281"/>
    </row>
    <row r="86" spans="2:33" ht="12.75" customHeight="1" hidden="1">
      <c r="B86" s="271"/>
      <c r="C86" s="271" t="str">
        <f>Inscription!I85</f>
        <v>?</v>
      </c>
      <c r="D86" s="272">
        <f>Inscription!F85</f>
        <v>0</v>
      </c>
      <c r="E86" s="272">
        <f t="shared" si="18"/>
        <v>0</v>
      </c>
      <c r="F86" s="272">
        <f>Inscription!G85</f>
        <v>0</v>
      </c>
      <c r="G86" s="272">
        <f t="shared" si="19"/>
        <v>0</v>
      </c>
      <c r="H86" s="272"/>
      <c r="I86" s="277"/>
      <c r="J86" s="280"/>
      <c r="K86" s="271"/>
      <c r="L86" s="281"/>
      <c r="M86" s="280"/>
      <c r="N86" s="271"/>
      <c r="O86" s="281"/>
      <c r="P86" s="280"/>
      <c r="Q86" s="271"/>
      <c r="R86" s="281"/>
      <c r="S86" s="280"/>
      <c r="T86" s="271"/>
      <c r="U86" s="281"/>
      <c r="V86" s="280"/>
      <c r="W86" s="271"/>
      <c r="X86" s="281"/>
      <c r="Y86" s="280"/>
      <c r="Z86" s="271"/>
      <c r="AA86" s="281"/>
      <c r="AB86" s="280"/>
      <c r="AC86" s="271"/>
      <c r="AD86" s="281"/>
      <c r="AE86" s="280"/>
      <c r="AF86" s="271"/>
      <c r="AG86" s="281"/>
    </row>
    <row r="87" spans="2:33" ht="12.75" customHeight="1" hidden="1">
      <c r="B87" s="271"/>
      <c r="C87" s="271" t="str">
        <f>Inscription!I86</f>
        <v>?</v>
      </c>
      <c r="D87" s="272">
        <f>Inscription!F86</f>
        <v>0</v>
      </c>
      <c r="E87" s="272">
        <f t="shared" si="18"/>
        <v>0</v>
      </c>
      <c r="F87" s="272">
        <f>Inscription!G86</f>
        <v>0</v>
      </c>
      <c r="G87" s="272">
        <f t="shared" si="19"/>
        <v>0</v>
      </c>
      <c r="H87" s="272"/>
      <c r="I87" s="277"/>
      <c r="J87" s="280"/>
      <c r="K87" s="271"/>
      <c r="L87" s="281"/>
      <c r="M87" s="280"/>
      <c r="N87" s="271"/>
      <c r="O87" s="281"/>
      <c r="P87" s="280"/>
      <c r="Q87" s="271"/>
      <c r="R87" s="281"/>
      <c r="S87" s="280"/>
      <c r="T87" s="271"/>
      <c r="U87" s="281"/>
      <c r="V87" s="280"/>
      <c r="W87" s="271"/>
      <c r="X87" s="281"/>
      <c r="Y87" s="280"/>
      <c r="Z87" s="271"/>
      <c r="AA87" s="281"/>
      <c r="AB87" s="280"/>
      <c r="AC87" s="271"/>
      <c r="AD87" s="281"/>
      <c r="AE87" s="280"/>
      <c r="AF87" s="271"/>
      <c r="AG87" s="281"/>
    </row>
    <row r="88" spans="2:33" ht="12.75" customHeight="1" hidden="1">
      <c r="B88" s="271"/>
      <c r="C88" s="271" t="str">
        <f>Inscription!I87</f>
        <v>?</v>
      </c>
      <c r="D88" s="272">
        <f>Inscription!F87</f>
        <v>0</v>
      </c>
      <c r="E88" s="272">
        <f t="shared" si="18"/>
        <v>0</v>
      </c>
      <c r="F88" s="272">
        <f>Inscription!G87</f>
        <v>0</v>
      </c>
      <c r="G88" s="272">
        <f t="shared" si="19"/>
        <v>0</v>
      </c>
      <c r="H88" s="272"/>
      <c r="I88" s="277"/>
      <c r="J88" s="280"/>
      <c r="K88" s="271"/>
      <c r="L88" s="281"/>
      <c r="M88" s="280"/>
      <c r="N88" s="271"/>
      <c r="O88" s="281"/>
      <c r="P88" s="280"/>
      <c r="Q88" s="271"/>
      <c r="R88" s="281"/>
      <c r="S88" s="280"/>
      <c r="T88" s="271"/>
      <c r="U88" s="281"/>
      <c r="V88" s="280"/>
      <c r="W88" s="271"/>
      <c r="X88" s="281"/>
      <c r="Y88" s="280"/>
      <c r="Z88" s="271"/>
      <c r="AA88" s="281"/>
      <c r="AB88" s="280"/>
      <c r="AC88" s="271"/>
      <c r="AD88" s="281"/>
      <c r="AE88" s="280"/>
      <c r="AF88" s="271"/>
      <c r="AG88" s="281"/>
    </row>
    <row r="89" spans="2:33" ht="12.75" customHeight="1" hidden="1">
      <c r="B89" s="271"/>
      <c r="C89" s="271" t="str">
        <f>Inscription!I88</f>
        <v>?</v>
      </c>
      <c r="D89" s="272">
        <f>Inscription!F88</f>
        <v>0</v>
      </c>
      <c r="E89" s="272">
        <f t="shared" si="18"/>
        <v>0</v>
      </c>
      <c r="F89" s="272">
        <f>Inscription!G88</f>
        <v>0</v>
      </c>
      <c r="G89" s="272">
        <f t="shared" si="19"/>
        <v>0</v>
      </c>
      <c r="H89" s="272"/>
      <c r="I89" s="277"/>
      <c r="J89" s="280"/>
      <c r="K89" s="271"/>
      <c r="L89" s="281"/>
      <c r="M89" s="280"/>
      <c r="N89" s="271"/>
      <c r="O89" s="281"/>
      <c r="P89" s="280"/>
      <c r="Q89" s="271"/>
      <c r="R89" s="281"/>
      <c r="S89" s="280"/>
      <c r="T89" s="271"/>
      <c r="U89" s="281"/>
      <c r="V89" s="280"/>
      <c r="W89" s="271"/>
      <c r="X89" s="281"/>
      <c r="Y89" s="280"/>
      <c r="Z89" s="271"/>
      <c r="AA89" s="281"/>
      <c r="AB89" s="280"/>
      <c r="AC89" s="271"/>
      <c r="AD89" s="281"/>
      <c r="AE89" s="280"/>
      <c r="AF89" s="271"/>
      <c r="AG89" s="281"/>
    </row>
    <row r="90" spans="2:33" ht="12.75" customHeight="1" hidden="1">
      <c r="B90" s="271"/>
      <c r="C90" s="271" t="str">
        <f>Inscription!I89</f>
        <v>?</v>
      </c>
      <c r="D90" s="272">
        <f>Inscription!F89</f>
        <v>0</v>
      </c>
      <c r="E90" s="272">
        <f t="shared" si="18"/>
        <v>0</v>
      </c>
      <c r="F90" s="272">
        <f>Inscription!G89</f>
        <v>0</v>
      </c>
      <c r="G90" s="272">
        <f t="shared" si="19"/>
        <v>0</v>
      </c>
      <c r="H90" s="272"/>
      <c r="I90" s="277"/>
      <c r="J90" s="280"/>
      <c r="K90" s="271"/>
      <c r="L90" s="281"/>
      <c r="M90" s="280"/>
      <c r="N90" s="271"/>
      <c r="O90" s="281"/>
      <c r="P90" s="280"/>
      <c r="Q90" s="271"/>
      <c r="R90" s="281"/>
      <c r="S90" s="280"/>
      <c r="T90" s="271"/>
      <c r="U90" s="281"/>
      <c r="V90" s="280"/>
      <c r="W90" s="271"/>
      <c r="X90" s="281"/>
      <c r="Y90" s="280"/>
      <c r="Z90" s="271"/>
      <c r="AA90" s="281"/>
      <c r="AB90" s="280"/>
      <c r="AC90" s="271"/>
      <c r="AD90" s="281"/>
      <c r="AE90" s="280"/>
      <c r="AF90" s="271"/>
      <c r="AG90" s="281"/>
    </row>
    <row r="91" spans="2:33" ht="12.75" customHeight="1" hidden="1">
      <c r="B91" s="271"/>
      <c r="C91" s="271" t="str">
        <f>Inscription!I90</f>
        <v>?</v>
      </c>
      <c r="D91" s="272">
        <f>Inscription!F90</f>
        <v>0</v>
      </c>
      <c r="E91" s="272">
        <f t="shared" si="18"/>
        <v>0</v>
      </c>
      <c r="F91" s="272">
        <f>Inscription!G90</f>
        <v>0</v>
      </c>
      <c r="G91" s="272">
        <f t="shared" si="19"/>
        <v>0</v>
      </c>
      <c r="H91" s="272"/>
      <c r="I91" s="277"/>
      <c r="J91" s="280"/>
      <c r="K91" s="271"/>
      <c r="L91" s="281"/>
      <c r="M91" s="280"/>
      <c r="N91" s="271"/>
      <c r="O91" s="281"/>
      <c r="P91" s="280"/>
      <c r="Q91" s="271"/>
      <c r="R91" s="281"/>
      <c r="S91" s="280"/>
      <c r="T91" s="271"/>
      <c r="U91" s="281"/>
      <c r="V91" s="280"/>
      <c r="W91" s="271"/>
      <c r="X91" s="281"/>
      <c r="Y91" s="280"/>
      <c r="Z91" s="271"/>
      <c r="AA91" s="281"/>
      <c r="AB91" s="280"/>
      <c r="AC91" s="271"/>
      <c r="AD91" s="281"/>
      <c r="AE91" s="280"/>
      <c r="AF91" s="271"/>
      <c r="AG91" s="281"/>
    </row>
    <row r="92" spans="2:33" ht="12.75" customHeight="1" hidden="1">
      <c r="B92" s="271"/>
      <c r="C92" s="271" t="str">
        <f>Inscription!I91</f>
        <v>?</v>
      </c>
      <c r="D92" s="272">
        <f>Inscription!F91</f>
        <v>0</v>
      </c>
      <c r="E92" s="272">
        <f t="shared" si="18"/>
        <v>0</v>
      </c>
      <c r="F92" s="272">
        <f>Inscription!G91</f>
        <v>0</v>
      </c>
      <c r="G92" s="272">
        <f t="shared" si="19"/>
        <v>0</v>
      </c>
      <c r="H92" s="272"/>
      <c r="I92" s="277"/>
      <c r="J92" s="280"/>
      <c r="K92" s="271"/>
      <c r="L92" s="281"/>
      <c r="M92" s="280"/>
      <c r="N92" s="271"/>
      <c r="O92" s="281"/>
      <c r="P92" s="280"/>
      <c r="Q92" s="271"/>
      <c r="R92" s="281"/>
      <c r="S92" s="280"/>
      <c r="T92" s="271"/>
      <c r="U92" s="281"/>
      <c r="V92" s="280"/>
      <c r="W92" s="271"/>
      <c r="X92" s="281"/>
      <c r="Y92" s="280"/>
      <c r="Z92" s="271"/>
      <c r="AA92" s="281"/>
      <c r="AB92" s="280"/>
      <c r="AC92" s="271"/>
      <c r="AD92" s="281"/>
      <c r="AE92" s="280"/>
      <c r="AF92" s="271"/>
      <c r="AG92" s="281"/>
    </row>
    <row r="93" spans="2:33" ht="12.75" customHeight="1" hidden="1">
      <c r="B93" s="271"/>
      <c r="C93" s="271" t="str">
        <f>Inscription!I92</f>
        <v>?</v>
      </c>
      <c r="D93" s="272">
        <f>Inscription!F92</f>
        <v>0</v>
      </c>
      <c r="E93" s="272">
        <f t="shared" si="18"/>
        <v>0</v>
      </c>
      <c r="F93" s="272">
        <f>Inscription!G92</f>
        <v>0</v>
      </c>
      <c r="G93" s="272">
        <f t="shared" si="19"/>
        <v>0</v>
      </c>
      <c r="H93" s="272"/>
      <c r="I93" s="277"/>
      <c r="J93" s="280"/>
      <c r="K93" s="271"/>
      <c r="L93" s="281"/>
      <c r="M93" s="280"/>
      <c r="N93" s="271"/>
      <c r="O93" s="281"/>
      <c r="P93" s="280"/>
      <c r="Q93" s="271"/>
      <c r="R93" s="281"/>
      <c r="S93" s="280"/>
      <c r="T93" s="271"/>
      <c r="U93" s="281"/>
      <c r="V93" s="280"/>
      <c r="W93" s="271"/>
      <c r="X93" s="281"/>
      <c r="Y93" s="280"/>
      <c r="Z93" s="271"/>
      <c r="AA93" s="281"/>
      <c r="AB93" s="280"/>
      <c r="AC93" s="271"/>
      <c r="AD93" s="281"/>
      <c r="AE93" s="280"/>
      <c r="AF93" s="271"/>
      <c r="AG93" s="281"/>
    </row>
    <row r="94" spans="2:33" ht="12.75" customHeight="1" hidden="1">
      <c r="B94" s="271"/>
      <c r="C94" s="271" t="str">
        <f>Inscription!I93</f>
        <v>?</v>
      </c>
      <c r="D94" s="272">
        <f>Inscription!F93</f>
        <v>0</v>
      </c>
      <c r="E94" s="272">
        <f t="shared" si="18"/>
        <v>0</v>
      </c>
      <c r="F94" s="272">
        <f>Inscription!G93</f>
        <v>0</v>
      </c>
      <c r="G94" s="272">
        <f t="shared" si="19"/>
        <v>0</v>
      </c>
      <c r="H94" s="272"/>
      <c r="I94" s="277"/>
      <c r="J94" s="280"/>
      <c r="K94" s="271"/>
      <c r="L94" s="281"/>
      <c r="M94" s="280"/>
      <c r="N94" s="271"/>
      <c r="O94" s="281"/>
      <c r="P94" s="280"/>
      <c r="Q94" s="271"/>
      <c r="R94" s="281"/>
      <c r="S94" s="280"/>
      <c r="T94" s="271"/>
      <c r="U94" s="281"/>
      <c r="V94" s="280"/>
      <c r="W94" s="271"/>
      <c r="X94" s="281"/>
      <c r="Y94" s="280"/>
      <c r="Z94" s="271"/>
      <c r="AA94" s="281"/>
      <c r="AB94" s="280"/>
      <c r="AC94" s="271"/>
      <c r="AD94" s="281"/>
      <c r="AE94" s="280"/>
      <c r="AF94" s="271"/>
      <c r="AG94" s="281"/>
    </row>
    <row r="95" spans="2:33" ht="12.75" customHeight="1" hidden="1">
      <c r="B95" s="271"/>
      <c r="C95" s="271" t="str">
        <f>Inscription!I94</f>
        <v>?</v>
      </c>
      <c r="D95" s="272">
        <f>Inscription!F94</f>
        <v>0</v>
      </c>
      <c r="E95" s="272">
        <f t="shared" si="18"/>
        <v>0</v>
      </c>
      <c r="F95" s="272">
        <f>Inscription!G94</f>
        <v>0</v>
      </c>
      <c r="G95" s="272">
        <f t="shared" si="19"/>
        <v>0</v>
      </c>
      <c r="H95" s="272"/>
      <c r="I95" s="277"/>
      <c r="J95" s="280"/>
      <c r="K95" s="271"/>
      <c r="L95" s="281"/>
      <c r="M95" s="280"/>
      <c r="N95" s="271"/>
      <c r="O95" s="281"/>
      <c r="P95" s="280"/>
      <c r="Q95" s="271"/>
      <c r="R95" s="281"/>
      <c r="S95" s="280"/>
      <c r="T95" s="271"/>
      <c r="U95" s="281"/>
      <c r="V95" s="280"/>
      <c r="W95" s="271"/>
      <c r="X95" s="281"/>
      <c r="Y95" s="280"/>
      <c r="Z95" s="271"/>
      <c r="AA95" s="281"/>
      <c r="AB95" s="280"/>
      <c r="AC95" s="271"/>
      <c r="AD95" s="281"/>
      <c r="AE95" s="280"/>
      <c r="AF95" s="271"/>
      <c r="AG95" s="281"/>
    </row>
    <row r="96" spans="2:33" ht="12.75" customHeight="1" hidden="1">
      <c r="B96" s="271"/>
      <c r="C96" s="271" t="str">
        <f>Inscription!I95</f>
        <v>?</v>
      </c>
      <c r="D96" s="272">
        <f>Inscription!F95</f>
        <v>0</v>
      </c>
      <c r="E96" s="272">
        <f t="shared" si="18"/>
        <v>0</v>
      </c>
      <c r="F96" s="272">
        <f>Inscription!G95</f>
        <v>0</v>
      </c>
      <c r="G96" s="272">
        <f t="shared" si="19"/>
        <v>0</v>
      </c>
      <c r="H96" s="272"/>
      <c r="I96" s="277"/>
      <c r="J96" s="280"/>
      <c r="K96" s="271"/>
      <c r="L96" s="281"/>
      <c r="M96" s="280"/>
      <c r="N96" s="271"/>
      <c r="O96" s="281"/>
      <c r="P96" s="280"/>
      <c r="Q96" s="271"/>
      <c r="R96" s="281"/>
      <c r="S96" s="280"/>
      <c r="T96" s="271"/>
      <c r="U96" s="281"/>
      <c r="V96" s="280"/>
      <c r="W96" s="271"/>
      <c r="X96" s="281"/>
      <c r="Y96" s="280"/>
      <c r="Z96" s="271"/>
      <c r="AA96" s="281"/>
      <c r="AB96" s="280"/>
      <c r="AC96" s="271"/>
      <c r="AD96" s="281"/>
      <c r="AE96" s="280"/>
      <c r="AF96" s="271"/>
      <c r="AG96" s="281"/>
    </row>
    <row r="97" spans="2:33" ht="12.75" customHeight="1" hidden="1">
      <c r="B97" s="271"/>
      <c r="C97" s="271" t="str">
        <f>Inscription!I96</f>
        <v>?</v>
      </c>
      <c r="D97" s="272">
        <f>Inscription!F96</f>
        <v>0</v>
      </c>
      <c r="E97" s="272">
        <f t="shared" si="18"/>
        <v>0</v>
      </c>
      <c r="F97" s="272">
        <f>Inscription!G96</f>
        <v>0</v>
      </c>
      <c r="G97" s="272">
        <f t="shared" si="19"/>
        <v>0</v>
      </c>
      <c r="H97" s="272"/>
      <c r="I97" s="277"/>
      <c r="J97" s="280"/>
      <c r="K97" s="271"/>
      <c r="L97" s="281"/>
      <c r="M97" s="280"/>
      <c r="N97" s="271"/>
      <c r="O97" s="281"/>
      <c r="P97" s="280"/>
      <c r="Q97" s="271"/>
      <c r="R97" s="281"/>
      <c r="S97" s="280"/>
      <c r="T97" s="271"/>
      <c r="U97" s="281"/>
      <c r="V97" s="280"/>
      <c r="W97" s="271"/>
      <c r="X97" s="281"/>
      <c r="Y97" s="280"/>
      <c r="Z97" s="271"/>
      <c r="AA97" s="281"/>
      <c r="AB97" s="280"/>
      <c r="AC97" s="271"/>
      <c r="AD97" s="281"/>
      <c r="AE97" s="280"/>
      <c r="AF97" s="271"/>
      <c r="AG97" s="281"/>
    </row>
    <row r="98" spans="2:33" ht="12.75" customHeight="1" hidden="1">
      <c r="B98" s="271"/>
      <c r="C98" s="271" t="str">
        <f>Inscription!I97</f>
        <v>?</v>
      </c>
      <c r="D98" s="272">
        <f>Inscription!F97</f>
        <v>0</v>
      </c>
      <c r="E98" s="272">
        <f t="shared" si="18"/>
        <v>0</v>
      </c>
      <c r="F98" s="272">
        <f>Inscription!G97</f>
        <v>0</v>
      </c>
      <c r="G98" s="272">
        <f t="shared" si="19"/>
        <v>0</v>
      </c>
      <c r="H98" s="272"/>
      <c r="I98" s="277"/>
      <c r="J98" s="280"/>
      <c r="K98" s="271"/>
      <c r="L98" s="281"/>
      <c r="M98" s="280"/>
      <c r="N98" s="271"/>
      <c r="O98" s="281"/>
      <c r="P98" s="280"/>
      <c r="Q98" s="271"/>
      <c r="R98" s="281"/>
      <c r="S98" s="280"/>
      <c r="T98" s="271"/>
      <c r="U98" s="281"/>
      <c r="V98" s="280"/>
      <c r="W98" s="271"/>
      <c r="X98" s="281"/>
      <c r="Y98" s="280"/>
      <c r="Z98" s="271"/>
      <c r="AA98" s="281"/>
      <c r="AB98" s="280"/>
      <c r="AC98" s="271"/>
      <c r="AD98" s="281"/>
      <c r="AE98" s="280"/>
      <c r="AF98" s="271"/>
      <c r="AG98" s="281"/>
    </row>
    <row r="99" spans="2:33" ht="12.75" customHeight="1" hidden="1">
      <c r="B99" s="271"/>
      <c r="C99" s="271" t="str">
        <f>Inscription!I98</f>
        <v>?</v>
      </c>
      <c r="D99" s="272">
        <f>Inscription!F98</f>
        <v>0</v>
      </c>
      <c r="E99" s="272">
        <f t="shared" si="18"/>
        <v>0</v>
      </c>
      <c r="F99" s="272">
        <f>Inscription!G98</f>
        <v>0</v>
      </c>
      <c r="G99" s="272">
        <f t="shared" si="19"/>
        <v>0</v>
      </c>
      <c r="H99" s="272"/>
      <c r="I99" s="277"/>
      <c r="J99" s="280"/>
      <c r="K99" s="271"/>
      <c r="L99" s="281"/>
      <c r="M99" s="280"/>
      <c r="N99" s="271"/>
      <c r="O99" s="281"/>
      <c r="P99" s="280"/>
      <c r="Q99" s="271"/>
      <c r="R99" s="281"/>
      <c r="S99" s="280"/>
      <c r="T99" s="271"/>
      <c r="U99" s="281"/>
      <c r="V99" s="280"/>
      <c r="W99" s="271"/>
      <c r="X99" s="281"/>
      <c r="Y99" s="280"/>
      <c r="Z99" s="271"/>
      <c r="AA99" s="281"/>
      <c r="AB99" s="280"/>
      <c r="AC99" s="271"/>
      <c r="AD99" s="281"/>
      <c r="AE99" s="280"/>
      <c r="AF99" s="271"/>
      <c r="AG99" s="281"/>
    </row>
    <row r="100" spans="2:33" ht="12.75" customHeight="1" hidden="1">
      <c r="B100" s="271"/>
      <c r="C100" s="271" t="str">
        <f>Inscription!I99</f>
        <v>?</v>
      </c>
      <c r="D100" s="272">
        <f>Inscription!F99</f>
        <v>0</v>
      </c>
      <c r="E100" s="272">
        <f t="shared" si="18"/>
        <v>0</v>
      </c>
      <c r="F100" s="272">
        <f>Inscription!G99</f>
        <v>0</v>
      </c>
      <c r="G100" s="272">
        <f t="shared" si="19"/>
        <v>0</v>
      </c>
      <c r="H100" s="272"/>
      <c r="I100" s="277"/>
      <c r="J100" s="280"/>
      <c r="K100" s="271"/>
      <c r="L100" s="281"/>
      <c r="M100" s="280"/>
      <c r="N100" s="271"/>
      <c r="O100" s="281"/>
      <c r="P100" s="280"/>
      <c r="Q100" s="271"/>
      <c r="R100" s="281"/>
      <c r="S100" s="280"/>
      <c r="T100" s="271"/>
      <c r="U100" s="281"/>
      <c r="V100" s="280"/>
      <c r="W100" s="271"/>
      <c r="X100" s="281"/>
      <c r="Y100" s="280"/>
      <c r="Z100" s="271"/>
      <c r="AA100" s="281"/>
      <c r="AB100" s="280"/>
      <c r="AC100" s="271"/>
      <c r="AD100" s="281"/>
      <c r="AE100" s="280"/>
      <c r="AF100" s="271"/>
      <c r="AG100" s="281"/>
    </row>
    <row r="101" spans="2:33" ht="12.75" customHeight="1" hidden="1">
      <c r="B101" s="271"/>
      <c r="C101" s="271" t="str">
        <f>Inscription!I100</f>
        <v>?</v>
      </c>
      <c r="D101" s="272">
        <f>Inscription!F100</f>
        <v>0</v>
      </c>
      <c r="E101" s="272">
        <f t="shared" si="18"/>
        <v>0</v>
      </c>
      <c r="F101" s="272">
        <f>Inscription!G100</f>
        <v>0</v>
      </c>
      <c r="G101" s="272">
        <f t="shared" si="19"/>
        <v>0</v>
      </c>
      <c r="H101" s="272"/>
      <c r="I101" s="277"/>
      <c r="J101" s="280"/>
      <c r="K101" s="271"/>
      <c r="L101" s="281"/>
      <c r="M101" s="280"/>
      <c r="N101" s="271"/>
      <c r="O101" s="281"/>
      <c r="P101" s="280"/>
      <c r="Q101" s="271"/>
      <c r="R101" s="281"/>
      <c r="S101" s="280"/>
      <c r="T101" s="271"/>
      <c r="U101" s="281"/>
      <c r="V101" s="280"/>
      <c r="W101" s="271"/>
      <c r="X101" s="281"/>
      <c r="Y101" s="280"/>
      <c r="Z101" s="271"/>
      <c r="AA101" s="281"/>
      <c r="AB101" s="280"/>
      <c r="AC101" s="271"/>
      <c r="AD101" s="281"/>
      <c r="AE101" s="280"/>
      <c r="AF101" s="271"/>
      <c r="AG101" s="281"/>
    </row>
    <row r="102" spans="2:33" ht="12.75" customHeight="1" hidden="1">
      <c r="B102" s="271"/>
      <c r="C102" s="271" t="str">
        <f>Inscription!I101</f>
        <v>?</v>
      </c>
      <c r="D102" s="272">
        <f>Inscription!F101</f>
        <v>0</v>
      </c>
      <c r="E102" s="272">
        <f t="shared" si="18"/>
        <v>0</v>
      </c>
      <c r="F102" s="272">
        <f>Inscription!G101</f>
        <v>0</v>
      </c>
      <c r="G102" s="272">
        <f t="shared" si="19"/>
        <v>0</v>
      </c>
      <c r="H102" s="272"/>
      <c r="I102" s="277"/>
      <c r="J102" s="280"/>
      <c r="K102" s="271"/>
      <c r="L102" s="281"/>
      <c r="M102" s="280"/>
      <c r="N102" s="271"/>
      <c r="O102" s="281"/>
      <c r="P102" s="280"/>
      <c r="Q102" s="271"/>
      <c r="R102" s="281"/>
      <c r="S102" s="280"/>
      <c r="T102" s="271"/>
      <c r="U102" s="281"/>
      <c r="V102" s="280"/>
      <c r="W102" s="271"/>
      <c r="X102" s="281"/>
      <c r="Y102" s="280"/>
      <c r="Z102" s="271"/>
      <c r="AA102" s="281"/>
      <c r="AB102" s="280"/>
      <c r="AC102" s="271"/>
      <c r="AD102" s="281"/>
      <c r="AE102" s="280"/>
      <c r="AF102" s="271"/>
      <c r="AG102" s="281"/>
    </row>
    <row r="103" spans="2:33" ht="12.75" customHeight="1" hidden="1">
      <c r="B103" s="271"/>
      <c r="C103" s="271" t="str">
        <f>Inscription!I102</f>
        <v>?</v>
      </c>
      <c r="D103" s="272">
        <f>Inscription!F102</f>
        <v>0</v>
      </c>
      <c r="E103" s="272">
        <f t="shared" si="18"/>
        <v>0</v>
      </c>
      <c r="F103" s="272">
        <f>Inscription!G102</f>
        <v>0</v>
      </c>
      <c r="G103" s="272">
        <f t="shared" si="19"/>
        <v>0</v>
      </c>
      <c r="H103" s="272"/>
      <c r="I103" s="277"/>
      <c r="J103" s="280"/>
      <c r="K103" s="271"/>
      <c r="L103" s="281"/>
      <c r="M103" s="280"/>
      <c r="N103" s="271"/>
      <c r="O103" s="281"/>
      <c r="P103" s="280"/>
      <c r="Q103" s="271"/>
      <c r="R103" s="281"/>
      <c r="S103" s="280"/>
      <c r="T103" s="271"/>
      <c r="U103" s="281"/>
      <c r="V103" s="280"/>
      <c r="W103" s="271"/>
      <c r="X103" s="281"/>
      <c r="Y103" s="280"/>
      <c r="Z103" s="271"/>
      <c r="AA103" s="281"/>
      <c r="AB103" s="280"/>
      <c r="AC103" s="271"/>
      <c r="AD103" s="281"/>
      <c r="AE103" s="280"/>
      <c r="AF103" s="271"/>
      <c r="AG103" s="281"/>
    </row>
    <row r="104" spans="2:33" ht="12.75" customHeight="1" hidden="1">
      <c r="B104" s="271"/>
      <c r="C104" s="271" t="str">
        <f>Inscription!I103</f>
        <v>?</v>
      </c>
      <c r="D104" s="272">
        <f>Inscription!F103</f>
        <v>0</v>
      </c>
      <c r="E104" s="272">
        <f t="shared" si="18"/>
        <v>0</v>
      </c>
      <c r="F104" s="272">
        <f>Inscription!G103</f>
        <v>0</v>
      </c>
      <c r="G104" s="272">
        <f t="shared" si="19"/>
        <v>0</v>
      </c>
      <c r="H104" s="272"/>
      <c r="I104" s="277"/>
      <c r="J104" s="280"/>
      <c r="K104" s="271"/>
      <c r="L104" s="281"/>
      <c r="M104" s="280"/>
      <c r="N104" s="271"/>
      <c r="O104" s="281"/>
      <c r="P104" s="280"/>
      <c r="Q104" s="271"/>
      <c r="R104" s="281"/>
      <c r="S104" s="280"/>
      <c r="T104" s="271"/>
      <c r="U104" s="281"/>
      <c r="V104" s="280"/>
      <c r="W104" s="271"/>
      <c r="X104" s="281"/>
      <c r="Y104" s="280"/>
      <c r="Z104" s="271"/>
      <c r="AA104" s="281"/>
      <c r="AB104" s="280"/>
      <c r="AC104" s="271"/>
      <c r="AD104" s="281"/>
      <c r="AE104" s="280"/>
      <c r="AF104" s="271"/>
      <c r="AG104" s="281"/>
    </row>
    <row r="105" spans="2:33" ht="12.75" customHeight="1" hidden="1">
      <c r="B105" s="271"/>
      <c r="C105" s="271" t="str">
        <f>Inscription!I104</f>
        <v>?</v>
      </c>
      <c r="D105" s="272">
        <f>Inscription!F104</f>
        <v>0</v>
      </c>
      <c r="E105" s="272">
        <f t="shared" si="18"/>
        <v>0</v>
      </c>
      <c r="F105" s="272">
        <f>Inscription!G104</f>
        <v>0</v>
      </c>
      <c r="G105" s="272">
        <f t="shared" si="19"/>
        <v>0</v>
      </c>
      <c r="H105" s="272"/>
      <c r="I105" s="277"/>
      <c r="J105" s="280"/>
      <c r="K105" s="271"/>
      <c r="L105" s="281"/>
      <c r="M105" s="280"/>
      <c r="N105" s="271"/>
      <c r="O105" s="281"/>
      <c r="P105" s="280"/>
      <c r="Q105" s="271"/>
      <c r="R105" s="281"/>
      <c r="S105" s="280"/>
      <c r="T105" s="271"/>
      <c r="U105" s="281"/>
      <c r="V105" s="280"/>
      <c r="W105" s="271"/>
      <c r="X105" s="281"/>
      <c r="Y105" s="280"/>
      <c r="Z105" s="271"/>
      <c r="AA105" s="281"/>
      <c r="AB105" s="280"/>
      <c r="AC105" s="271"/>
      <c r="AD105" s="281"/>
      <c r="AE105" s="280"/>
      <c r="AF105" s="271"/>
      <c r="AG105" s="281"/>
    </row>
    <row r="106" spans="2:33" ht="12.75" customHeight="1" hidden="1">
      <c r="B106" s="271"/>
      <c r="C106" s="271" t="str">
        <f>Inscription!I105</f>
        <v>?</v>
      </c>
      <c r="D106" s="272">
        <f>Inscription!F105</f>
        <v>0</v>
      </c>
      <c r="E106" s="272">
        <f t="shared" si="18"/>
        <v>0</v>
      </c>
      <c r="F106" s="272">
        <f>Inscription!G105</f>
        <v>0</v>
      </c>
      <c r="G106" s="272">
        <f t="shared" si="19"/>
        <v>0</v>
      </c>
      <c r="H106" s="272"/>
      <c r="I106" s="277"/>
      <c r="J106" s="280"/>
      <c r="K106" s="271"/>
      <c r="L106" s="281"/>
      <c r="M106" s="280"/>
      <c r="N106" s="271"/>
      <c r="O106" s="281"/>
      <c r="P106" s="280"/>
      <c r="Q106" s="271"/>
      <c r="R106" s="281"/>
      <c r="S106" s="280"/>
      <c r="T106" s="271"/>
      <c r="U106" s="281"/>
      <c r="V106" s="280"/>
      <c r="W106" s="271"/>
      <c r="X106" s="281"/>
      <c r="Y106" s="280"/>
      <c r="Z106" s="271"/>
      <c r="AA106" s="281"/>
      <c r="AB106" s="280"/>
      <c r="AC106" s="271"/>
      <c r="AD106" s="281"/>
      <c r="AE106" s="280"/>
      <c r="AF106" s="271"/>
      <c r="AG106" s="281"/>
    </row>
    <row r="107" spans="2:33" ht="12.75" customHeight="1" hidden="1">
      <c r="B107" s="271"/>
      <c r="C107" s="271" t="str">
        <f>Inscription!I106</f>
        <v>?</v>
      </c>
      <c r="D107" s="272">
        <f>Inscription!F106</f>
        <v>0</v>
      </c>
      <c r="E107" s="272">
        <f t="shared" si="18"/>
        <v>0</v>
      </c>
      <c r="F107" s="272">
        <f>Inscription!G106</f>
        <v>0</v>
      </c>
      <c r="G107" s="272">
        <f t="shared" si="19"/>
        <v>0</v>
      </c>
      <c r="H107" s="272"/>
      <c r="I107" s="277"/>
      <c r="J107" s="280"/>
      <c r="K107" s="271"/>
      <c r="L107" s="281"/>
      <c r="M107" s="280"/>
      <c r="N107" s="271"/>
      <c r="O107" s="281"/>
      <c r="P107" s="280"/>
      <c r="Q107" s="271"/>
      <c r="R107" s="281"/>
      <c r="S107" s="280"/>
      <c r="T107" s="271"/>
      <c r="U107" s="281"/>
      <c r="V107" s="280"/>
      <c r="W107" s="271"/>
      <c r="X107" s="281"/>
      <c r="Y107" s="280"/>
      <c r="Z107" s="271"/>
      <c r="AA107" s="281"/>
      <c r="AB107" s="280"/>
      <c r="AC107" s="271"/>
      <c r="AD107" s="281"/>
      <c r="AE107" s="280"/>
      <c r="AF107" s="271"/>
      <c r="AG107" s="281"/>
    </row>
    <row r="108" spans="2:33" ht="12.75" customHeight="1" hidden="1">
      <c r="B108" s="271"/>
      <c r="C108" s="271" t="str">
        <f>Inscription!I107</f>
        <v>?</v>
      </c>
      <c r="D108" s="272">
        <f>Inscription!F107</f>
        <v>0</v>
      </c>
      <c r="E108" s="272">
        <f t="shared" si="18"/>
        <v>0</v>
      </c>
      <c r="F108" s="272">
        <f>Inscription!G107</f>
        <v>0</v>
      </c>
      <c r="G108" s="272">
        <f t="shared" si="19"/>
        <v>0</v>
      </c>
      <c r="H108" s="272"/>
      <c r="I108" s="277"/>
      <c r="J108" s="280"/>
      <c r="K108" s="271"/>
      <c r="L108" s="281"/>
      <c r="M108" s="280"/>
      <c r="N108" s="271"/>
      <c r="O108" s="281"/>
      <c r="P108" s="280"/>
      <c r="Q108" s="271"/>
      <c r="R108" s="281"/>
      <c r="S108" s="280"/>
      <c r="T108" s="271"/>
      <c r="U108" s="281"/>
      <c r="V108" s="280"/>
      <c r="W108" s="271"/>
      <c r="X108" s="281"/>
      <c r="Y108" s="280"/>
      <c r="Z108" s="271"/>
      <c r="AA108" s="281"/>
      <c r="AB108" s="280"/>
      <c r="AC108" s="271"/>
      <c r="AD108" s="281"/>
      <c r="AE108" s="280"/>
      <c r="AF108" s="271"/>
      <c r="AG108" s="281"/>
    </row>
    <row r="109" spans="2:33" ht="12.75" customHeight="1" hidden="1">
      <c r="B109" s="271"/>
      <c r="C109" s="271" t="str">
        <f>Inscription!I108</f>
        <v>?</v>
      </c>
      <c r="D109" s="272">
        <f>Inscription!F108</f>
        <v>0</v>
      </c>
      <c r="E109" s="272">
        <f t="shared" si="18"/>
        <v>0</v>
      </c>
      <c r="F109" s="272">
        <f>Inscription!G108</f>
        <v>0</v>
      </c>
      <c r="G109" s="272">
        <f t="shared" si="19"/>
        <v>0</v>
      </c>
      <c r="H109" s="272"/>
      <c r="I109" s="277"/>
      <c r="J109" s="280"/>
      <c r="K109" s="271"/>
      <c r="L109" s="281"/>
      <c r="M109" s="280"/>
      <c r="N109" s="271"/>
      <c r="O109" s="281"/>
      <c r="P109" s="280"/>
      <c r="Q109" s="271"/>
      <c r="R109" s="281"/>
      <c r="S109" s="280"/>
      <c r="T109" s="271"/>
      <c r="U109" s="281"/>
      <c r="V109" s="280"/>
      <c r="W109" s="271"/>
      <c r="X109" s="281"/>
      <c r="Y109" s="280"/>
      <c r="Z109" s="271"/>
      <c r="AA109" s="281"/>
      <c r="AB109" s="280"/>
      <c r="AC109" s="271"/>
      <c r="AD109" s="281"/>
      <c r="AE109" s="280"/>
      <c r="AF109" s="271"/>
      <c r="AG109" s="281"/>
    </row>
    <row r="110" spans="2:33" ht="12.75" customHeight="1" hidden="1">
      <c r="B110" s="271"/>
      <c r="C110" s="271" t="str">
        <f>Inscription!I109</f>
        <v>?</v>
      </c>
      <c r="D110" s="272">
        <f>Inscription!F109</f>
        <v>0</v>
      </c>
      <c r="E110" s="272">
        <f t="shared" si="18"/>
        <v>0</v>
      </c>
      <c r="F110" s="272">
        <f>Inscription!G109</f>
        <v>0</v>
      </c>
      <c r="G110" s="272">
        <f t="shared" si="19"/>
        <v>0</v>
      </c>
      <c r="H110" s="272"/>
      <c r="I110" s="277"/>
      <c r="J110" s="280"/>
      <c r="K110" s="271"/>
      <c r="L110" s="281"/>
      <c r="M110" s="280"/>
      <c r="N110" s="271"/>
      <c r="O110" s="281"/>
      <c r="P110" s="280"/>
      <c r="Q110" s="271"/>
      <c r="R110" s="281"/>
      <c r="S110" s="280"/>
      <c r="T110" s="271"/>
      <c r="U110" s="281"/>
      <c r="V110" s="280"/>
      <c r="W110" s="271"/>
      <c r="X110" s="281"/>
      <c r="Y110" s="280"/>
      <c r="Z110" s="271"/>
      <c r="AA110" s="281"/>
      <c r="AB110" s="280"/>
      <c r="AC110" s="271"/>
      <c r="AD110" s="281"/>
      <c r="AE110" s="280"/>
      <c r="AF110" s="271"/>
      <c r="AG110" s="281"/>
    </row>
    <row r="111" spans="2:33" ht="12.75" customHeight="1" hidden="1">
      <c r="B111" s="271"/>
      <c r="C111" s="271" t="str">
        <f>Inscription!I110</f>
        <v>?</v>
      </c>
      <c r="D111" s="272">
        <f>Inscription!F110</f>
        <v>0</v>
      </c>
      <c r="E111" s="272">
        <f t="shared" si="18"/>
        <v>0</v>
      </c>
      <c r="F111" s="272">
        <f>Inscription!G110</f>
        <v>0</v>
      </c>
      <c r="G111" s="272">
        <f t="shared" si="19"/>
        <v>0</v>
      </c>
      <c r="H111" s="272"/>
      <c r="I111" s="277"/>
      <c r="J111" s="280"/>
      <c r="K111" s="271"/>
      <c r="L111" s="281"/>
      <c r="M111" s="280"/>
      <c r="N111" s="271"/>
      <c r="O111" s="281"/>
      <c r="P111" s="280"/>
      <c r="Q111" s="271"/>
      <c r="R111" s="281"/>
      <c r="S111" s="280"/>
      <c r="T111" s="271"/>
      <c r="U111" s="281"/>
      <c r="V111" s="280"/>
      <c r="W111" s="271"/>
      <c r="X111" s="281"/>
      <c r="Y111" s="280"/>
      <c r="Z111" s="271"/>
      <c r="AA111" s="281"/>
      <c r="AB111" s="280"/>
      <c r="AC111" s="271"/>
      <c r="AD111" s="281"/>
      <c r="AE111" s="280"/>
      <c r="AF111" s="271"/>
      <c r="AG111" s="281"/>
    </row>
    <row r="112" spans="2:33" ht="12.75" customHeight="1" hidden="1">
      <c r="B112" s="271"/>
      <c r="C112" s="271" t="str">
        <f>Inscription!I111</f>
        <v>?</v>
      </c>
      <c r="D112" s="272">
        <f>Inscription!F111</f>
        <v>0</v>
      </c>
      <c r="E112" s="272">
        <f t="shared" si="18"/>
        <v>0</v>
      </c>
      <c r="F112" s="272">
        <f>Inscription!G111</f>
        <v>0</v>
      </c>
      <c r="G112" s="272">
        <f t="shared" si="19"/>
        <v>0</v>
      </c>
      <c r="H112" s="272"/>
      <c r="I112" s="277"/>
      <c r="J112" s="280"/>
      <c r="K112" s="271"/>
      <c r="L112" s="281"/>
      <c r="M112" s="280"/>
      <c r="N112" s="271"/>
      <c r="O112" s="281"/>
      <c r="P112" s="280"/>
      <c r="Q112" s="271"/>
      <c r="R112" s="281"/>
      <c r="S112" s="280"/>
      <c r="T112" s="271"/>
      <c r="U112" s="281"/>
      <c r="V112" s="280"/>
      <c r="W112" s="271"/>
      <c r="X112" s="281"/>
      <c r="Y112" s="280"/>
      <c r="Z112" s="271"/>
      <c r="AA112" s="281"/>
      <c r="AB112" s="280"/>
      <c r="AC112" s="271"/>
      <c r="AD112" s="281"/>
      <c r="AE112" s="280"/>
      <c r="AF112" s="271"/>
      <c r="AG112" s="281"/>
    </row>
    <row r="113" spans="2:33" ht="12.75" customHeight="1" hidden="1">
      <c r="B113" s="271"/>
      <c r="C113" s="271" t="str">
        <f>Inscription!I112</f>
        <v>?</v>
      </c>
      <c r="D113" s="272">
        <f>Inscription!F112</f>
        <v>0</v>
      </c>
      <c r="E113" s="272">
        <f t="shared" si="18"/>
        <v>0</v>
      </c>
      <c r="F113" s="272">
        <f>Inscription!G112</f>
        <v>0</v>
      </c>
      <c r="G113" s="272">
        <f t="shared" si="19"/>
        <v>0</v>
      </c>
      <c r="H113" s="272"/>
      <c r="I113" s="277"/>
      <c r="J113" s="280"/>
      <c r="K113" s="271"/>
      <c r="L113" s="281"/>
      <c r="M113" s="280"/>
      <c r="N113" s="271"/>
      <c r="O113" s="281"/>
      <c r="P113" s="280"/>
      <c r="Q113" s="271"/>
      <c r="R113" s="281"/>
      <c r="S113" s="280"/>
      <c r="T113" s="271"/>
      <c r="U113" s="281"/>
      <c r="V113" s="280"/>
      <c r="W113" s="271"/>
      <c r="X113" s="281"/>
      <c r="Y113" s="280"/>
      <c r="Z113" s="271"/>
      <c r="AA113" s="281"/>
      <c r="AB113" s="280"/>
      <c r="AC113" s="271"/>
      <c r="AD113" s="281"/>
      <c r="AE113" s="280"/>
      <c r="AF113" s="271"/>
      <c r="AG113" s="281"/>
    </row>
    <row r="114" spans="2:33" ht="12.75" customHeight="1" hidden="1">
      <c r="B114" s="271"/>
      <c r="C114" s="271" t="str">
        <f>Inscription!I113</f>
        <v>?</v>
      </c>
      <c r="D114" s="272">
        <f>Inscription!F113</f>
        <v>0</v>
      </c>
      <c r="E114" s="272">
        <f t="shared" si="18"/>
        <v>0</v>
      </c>
      <c r="F114" s="272">
        <f>Inscription!G113</f>
        <v>0</v>
      </c>
      <c r="G114" s="272">
        <f t="shared" si="19"/>
        <v>0</v>
      </c>
      <c r="H114" s="272"/>
      <c r="I114" s="277"/>
      <c r="J114" s="280"/>
      <c r="K114" s="271"/>
      <c r="L114" s="281"/>
      <c r="M114" s="280"/>
      <c r="N114" s="271"/>
      <c r="O114" s="281"/>
      <c r="P114" s="280"/>
      <c r="Q114" s="271"/>
      <c r="R114" s="281"/>
      <c r="S114" s="280"/>
      <c r="T114" s="271"/>
      <c r="U114" s="281"/>
      <c r="V114" s="280"/>
      <c r="W114" s="271"/>
      <c r="X114" s="281"/>
      <c r="Y114" s="280"/>
      <c r="Z114" s="271"/>
      <c r="AA114" s="281"/>
      <c r="AB114" s="280"/>
      <c r="AC114" s="271"/>
      <c r="AD114" s="281"/>
      <c r="AE114" s="280"/>
      <c r="AF114" s="271"/>
      <c r="AG114" s="281"/>
    </row>
    <row r="115" spans="2:33" ht="12.75" customHeight="1" hidden="1">
      <c r="B115" s="271"/>
      <c r="C115" s="271" t="str">
        <f>Inscription!I114</f>
        <v>?</v>
      </c>
      <c r="D115" s="272">
        <f>Inscription!F114</f>
        <v>0</v>
      </c>
      <c r="E115" s="272">
        <f t="shared" si="18"/>
        <v>0</v>
      </c>
      <c r="F115" s="272">
        <f>Inscription!G114</f>
        <v>0</v>
      </c>
      <c r="G115" s="272">
        <f t="shared" si="19"/>
        <v>0</v>
      </c>
      <c r="H115" s="272"/>
      <c r="I115" s="277"/>
      <c r="J115" s="280"/>
      <c r="K115" s="271"/>
      <c r="L115" s="281"/>
      <c r="M115" s="280"/>
      <c r="N115" s="271"/>
      <c r="O115" s="281"/>
      <c r="P115" s="280"/>
      <c r="Q115" s="271"/>
      <c r="R115" s="281"/>
      <c r="S115" s="280"/>
      <c r="T115" s="271"/>
      <c r="U115" s="281"/>
      <c r="V115" s="280"/>
      <c r="W115" s="271"/>
      <c r="X115" s="281"/>
      <c r="Y115" s="280"/>
      <c r="Z115" s="271"/>
      <c r="AA115" s="281"/>
      <c r="AB115" s="280"/>
      <c r="AC115" s="271"/>
      <c r="AD115" s="281"/>
      <c r="AE115" s="280"/>
      <c r="AF115" s="271"/>
      <c r="AG115" s="281"/>
    </row>
    <row r="116" spans="2:33" ht="12.75" customHeight="1" hidden="1">
      <c r="B116" s="271"/>
      <c r="C116" s="271" t="str">
        <f>Inscription!I115</f>
        <v>?</v>
      </c>
      <c r="D116" s="272">
        <f>Inscription!F115</f>
        <v>0</v>
      </c>
      <c r="E116" s="272">
        <f t="shared" si="18"/>
        <v>0</v>
      </c>
      <c r="F116" s="272">
        <f>Inscription!G115</f>
        <v>0</v>
      </c>
      <c r="G116" s="272">
        <f t="shared" si="19"/>
        <v>0</v>
      </c>
      <c r="H116" s="272"/>
      <c r="I116" s="277"/>
      <c r="J116" s="280"/>
      <c r="K116" s="271"/>
      <c r="L116" s="281"/>
      <c r="M116" s="280"/>
      <c r="N116" s="271"/>
      <c r="O116" s="281"/>
      <c r="P116" s="280"/>
      <c r="Q116" s="271"/>
      <c r="R116" s="281"/>
      <c r="S116" s="280"/>
      <c r="T116" s="271"/>
      <c r="U116" s="281"/>
      <c r="V116" s="280"/>
      <c r="W116" s="271"/>
      <c r="X116" s="281"/>
      <c r="Y116" s="280"/>
      <c r="Z116" s="271"/>
      <c r="AA116" s="281"/>
      <c r="AB116" s="280"/>
      <c r="AC116" s="271"/>
      <c r="AD116" s="281"/>
      <c r="AE116" s="280"/>
      <c r="AF116" s="271"/>
      <c r="AG116" s="281"/>
    </row>
    <row r="117" spans="2:33" ht="12.75" customHeight="1" hidden="1">
      <c r="B117" s="271"/>
      <c r="C117" s="271" t="str">
        <f>Inscription!I116</f>
        <v>?</v>
      </c>
      <c r="D117" s="272">
        <f>Inscription!F116</f>
        <v>0</v>
      </c>
      <c r="E117" s="272">
        <f t="shared" si="18"/>
        <v>0</v>
      </c>
      <c r="F117" s="272">
        <f>Inscription!G116</f>
        <v>0</v>
      </c>
      <c r="G117" s="272">
        <f t="shared" si="19"/>
        <v>0</v>
      </c>
      <c r="H117" s="272"/>
      <c r="I117" s="277"/>
      <c r="J117" s="280"/>
      <c r="K117" s="271"/>
      <c r="L117" s="281"/>
      <c r="M117" s="280"/>
      <c r="N117" s="271"/>
      <c r="O117" s="281"/>
      <c r="P117" s="280"/>
      <c r="Q117" s="271"/>
      <c r="R117" s="281"/>
      <c r="S117" s="280"/>
      <c r="T117" s="271"/>
      <c r="U117" s="281"/>
      <c r="V117" s="280"/>
      <c r="W117" s="271"/>
      <c r="X117" s="281"/>
      <c r="Y117" s="280"/>
      <c r="Z117" s="271"/>
      <c r="AA117" s="281"/>
      <c r="AB117" s="280"/>
      <c r="AC117" s="271"/>
      <c r="AD117" s="281"/>
      <c r="AE117" s="280"/>
      <c r="AF117" s="271"/>
      <c r="AG117" s="281"/>
    </row>
    <row r="118" spans="2:33" ht="12.75" customHeight="1" hidden="1">
      <c r="B118" s="271"/>
      <c r="C118" s="271" t="str">
        <f>Inscription!I117</f>
        <v>?</v>
      </c>
      <c r="D118" s="272">
        <f>Inscription!F117</f>
        <v>0</v>
      </c>
      <c r="E118" s="272">
        <f t="shared" si="18"/>
        <v>0</v>
      </c>
      <c r="F118" s="272">
        <f>Inscription!G117</f>
        <v>0</v>
      </c>
      <c r="G118" s="272">
        <f t="shared" si="19"/>
        <v>0</v>
      </c>
      <c r="H118" s="272"/>
      <c r="I118" s="277"/>
      <c r="J118" s="280"/>
      <c r="K118" s="271"/>
      <c r="L118" s="281"/>
      <c r="M118" s="280"/>
      <c r="N118" s="271"/>
      <c r="O118" s="281"/>
      <c r="P118" s="280"/>
      <c r="Q118" s="271"/>
      <c r="R118" s="281"/>
      <c r="S118" s="280"/>
      <c r="T118" s="271"/>
      <c r="U118" s="281"/>
      <c r="V118" s="280"/>
      <c r="W118" s="271"/>
      <c r="X118" s="281"/>
      <c r="Y118" s="280"/>
      <c r="Z118" s="271"/>
      <c r="AA118" s="281"/>
      <c r="AB118" s="280"/>
      <c r="AC118" s="271"/>
      <c r="AD118" s="281"/>
      <c r="AE118" s="280"/>
      <c r="AF118" s="271"/>
      <c r="AG118" s="281"/>
    </row>
    <row r="119" spans="2:33" ht="12.75" customHeight="1" hidden="1">
      <c r="B119" s="271"/>
      <c r="C119" s="271" t="str">
        <f>Inscription!I118</f>
        <v>?</v>
      </c>
      <c r="D119" s="272">
        <f>Inscription!F118</f>
        <v>0</v>
      </c>
      <c r="E119" s="272">
        <f t="shared" si="18"/>
        <v>0</v>
      </c>
      <c r="F119" s="272">
        <f>Inscription!G118</f>
        <v>0</v>
      </c>
      <c r="G119" s="272">
        <f t="shared" si="19"/>
        <v>0</v>
      </c>
      <c r="H119" s="272"/>
      <c r="I119" s="277"/>
      <c r="J119" s="280"/>
      <c r="K119" s="271"/>
      <c r="L119" s="281"/>
      <c r="M119" s="280"/>
      <c r="N119" s="271"/>
      <c r="O119" s="281"/>
      <c r="P119" s="280"/>
      <c r="Q119" s="271"/>
      <c r="R119" s="281"/>
      <c r="S119" s="280"/>
      <c r="T119" s="271"/>
      <c r="U119" s="281"/>
      <c r="V119" s="280"/>
      <c r="W119" s="271"/>
      <c r="X119" s="281"/>
      <c r="Y119" s="280"/>
      <c r="Z119" s="271"/>
      <c r="AA119" s="281"/>
      <c r="AB119" s="280"/>
      <c r="AC119" s="271"/>
      <c r="AD119" s="281"/>
      <c r="AE119" s="280"/>
      <c r="AF119" s="271"/>
      <c r="AG119" s="281"/>
    </row>
    <row r="120" spans="2:33" ht="12.75" customHeight="1" hidden="1">
      <c r="B120" s="271"/>
      <c r="C120" s="271" t="str">
        <f>Inscription!I119</f>
        <v>?</v>
      </c>
      <c r="D120" s="272">
        <f>Inscription!F119</f>
        <v>0</v>
      </c>
      <c r="E120" s="272">
        <f t="shared" si="18"/>
        <v>0</v>
      </c>
      <c r="F120" s="272">
        <f>Inscription!G119</f>
        <v>0</v>
      </c>
      <c r="G120" s="272">
        <f t="shared" si="19"/>
        <v>0</v>
      </c>
      <c r="H120" s="272"/>
      <c r="I120" s="277"/>
      <c r="J120" s="280"/>
      <c r="K120" s="271"/>
      <c r="L120" s="281"/>
      <c r="M120" s="280"/>
      <c r="N120" s="271"/>
      <c r="O120" s="281"/>
      <c r="P120" s="280"/>
      <c r="Q120" s="271"/>
      <c r="R120" s="281"/>
      <c r="S120" s="280"/>
      <c r="T120" s="271"/>
      <c r="U120" s="281"/>
      <c r="V120" s="280"/>
      <c r="W120" s="271"/>
      <c r="X120" s="281"/>
      <c r="Y120" s="280"/>
      <c r="Z120" s="271"/>
      <c r="AA120" s="281"/>
      <c r="AB120" s="280"/>
      <c r="AC120" s="271"/>
      <c r="AD120" s="281"/>
      <c r="AE120" s="280"/>
      <c r="AF120" s="271"/>
      <c r="AG120" s="281"/>
    </row>
    <row r="121" spans="2:33" ht="12.75" customHeight="1" hidden="1">
      <c r="B121" s="271"/>
      <c r="C121" s="271" t="str">
        <f>Inscription!I120</f>
        <v>?</v>
      </c>
      <c r="D121" s="272">
        <f>Inscription!F120</f>
        <v>0</v>
      </c>
      <c r="E121" s="272">
        <f t="shared" si="18"/>
        <v>0</v>
      </c>
      <c r="F121" s="272">
        <f>Inscription!G120</f>
        <v>0</v>
      </c>
      <c r="G121" s="272">
        <f t="shared" si="19"/>
        <v>0</v>
      </c>
      <c r="H121" s="272"/>
      <c r="I121" s="277"/>
      <c r="J121" s="280"/>
      <c r="K121" s="271"/>
      <c r="L121" s="281"/>
      <c r="M121" s="280"/>
      <c r="N121" s="271"/>
      <c r="O121" s="281"/>
      <c r="P121" s="280"/>
      <c r="Q121" s="271"/>
      <c r="R121" s="281"/>
      <c r="S121" s="280"/>
      <c r="T121" s="271"/>
      <c r="U121" s="281"/>
      <c r="V121" s="280"/>
      <c r="W121" s="271"/>
      <c r="X121" s="281"/>
      <c r="Y121" s="280"/>
      <c r="Z121" s="271"/>
      <c r="AA121" s="281"/>
      <c r="AB121" s="280"/>
      <c r="AC121" s="271"/>
      <c r="AD121" s="281"/>
      <c r="AE121" s="280"/>
      <c r="AF121" s="271"/>
      <c r="AG121" s="281"/>
    </row>
    <row r="122" spans="2:33" ht="12.75" customHeight="1" hidden="1">
      <c r="B122" s="271"/>
      <c r="C122" s="271" t="str">
        <f>Inscription!I121</f>
        <v>?</v>
      </c>
      <c r="D122" s="272">
        <f>Inscription!F121</f>
        <v>0</v>
      </c>
      <c r="E122" s="272">
        <f t="shared" si="18"/>
        <v>0</v>
      </c>
      <c r="F122" s="272">
        <f>Inscription!G121</f>
        <v>0</v>
      </c>
      <c r="G122" s="272">
        <f t="shared" si="19"/>
        <v>0</v>
      </c>
      <c r="H122" s="272"/>
      <c r="I122" s="277"/>
      <c r="J122" s="280"/>
      <c r="K122" s="271"/>
      <c r="L122" s="281"/>
      <c r="M122" s="280"/>
      <c r="N122" s="271"/>
      <c r="O122" s="281"/>
      <c r="P122" s="280"/>
      <c r="Q122" s="271"/>
      <c r="R122" s="281"/>
      <c r="S122" s="280"/>
      <c r="T122" s="271"/>
      <c r="U122" s="281"/>
      <c r="V122" s="280"/>
      <c r="W122" s="271"/>
      <c r="X122" s="281"/>
      <c r="Y122" s="280"/>
      <c r="Z122" s="271"/>
      <c r="AA122" s="281"/>
      <c r="AB122" s="280"/>
      <c r="AC122" s="271"/>
      <c r="AD122" s="281"/>
      <c r="AE122" s="280"/>
      <c r="AF122" s="271"/>
      <c r="AG122" s="281"/>
    </row>
    <row r="123" spans="2:33" ht="12.75" customHeight="1" hidden="1">
      <c r="B123" s="271"/>
      <c r="C123" s="271" t="str">
        <f>Inscription!I122</f>
        <v>?</v>
      </c>
      <c r="D123" s="272">
        <f>Inscription!F122</f>
        <v>0</v>
      </c>
      <c r="E123" s="272">
        <f t="shared" si="18"/>
        <v>0</v>
      </c>
      <c r="F123" s="272">
        <f>Inscription!G122</f>
        <v>0</v>
      </c>
      <c r="G123" s="272">
        <f t="shared" si="19"/>
        <v>0</v>
      </c>
      <c r="H123" s="272"/>
      <c r="I123" s="277"/>
      <c r="J123" s="280"/>
      <c r="K123" s="271"/>
      <c r="L123" s="281"/>
      <c r="M123" s="280"/>
      <c r="N123" s="271"/>
      <c r="O123" s="281"/>
      <c r="P123" s="280"/>
      <c r="Q123" s="271"/>
      <c r="R123" s="281"/>
      <c r="S123" s="280"/>
      <c r="T123" s="271"/>
      <c r="U123" s="281"/>
      <c r="V123" s="280"/>
      <c r="W123" s="271"/>
      <c r="X123" s="281"/>
      <c r="Y123" s="280"/>
      <c r="Z123" s="271"/>
      <c r="AA123" s="281"/>
      <c r="AB123" s="280"/>
      <c r="AC123" s="271"/>
      <c r="AD123" s="281"/>
      <c r="AE123" s="280"/>
      <c r="AF123" s="271"/>
      <c r="AG123" s="281"/>
    </row>
    <row r="124" spans="2:33" ht="12.75" customHeight="1" hidden="1">
      <c r="B124" s="271"/>
      <c r="C124" s="271" t="str">
        <f>Inscription!I123</f>
        <v>?</v>
      </c>
      <c r="D124" s="272">
        <f>Inscription!F123</f>
        <v>0</v>
      </c>
      <c r="E124" s="272">
        <f t="shared" si="18"/>
        <v>0</v>
      </c>
      <c r="F124" s="272">
        <f>Inscription!G123</f>
        <v>0</v>
      </c>
      <c r="G124" s="272">
        <f t="shared" si="19"/>
        <v>0</v>
      </c>
      <c r="H124" s="272"/>
      <c r="I124" s="277"/>
      <c r="J124" s="280"/>
      <c r="K124" s="271"/>
      <c r="L124" s="281"/>
      <c r="M124" s="280"/>
      <c r="N124" s="271"/>
      <c r="O124" s="281"/>
      <c r="P124" s="280"/>
      <c r="Q124" s="271"/>
      <c r="R124" s="281"/>
      <c r="S124" s="280"/>
      <c r="T124" s="271"/>
      <c r="U124" s="281"/>
      <c r="V124" s="280"/>
      <c r="W124" s="271"/>
      <c r="X124" s="281"/>
      <c r="Y124" s="280"/>
      <c r="Z124" s="271"/>
      <c r="AA124" s="281"/>
      <c r="AB124" s="280"/>
      <c r="AC124" s="271"/>
      <c r="AD124" s="281"/>
      <c r="AE124" s="280"/>
      <c r="AF124" s="271"/>
      <c r="AG124" s="281"/>
    </row>
    <row r="125" spans="2:33" ht="12.75" customHeight="1" hidden="1">
      <c r="B125" s="271"/>
      <c r="C125" s="271" t="str">
        <f>Inscription!I124</f>
        <v>?</v>
      </c>
      <c r="D125" s="272">
        <f>Inscription!F124</f>
        <v>0</v>
      </c>
      <c r="E125" s="272">
        <f t="shared" si="18"/>
        <v>0</v>
      </c>
      <c r="F125" s="272">
        <f>Inscription!G124</f>
        <v>0</v>
      </c>
      <c r="G125" s="272">
        <f t="shared" si="19"/>
        <v>0</v>
      </c>
      <c r="H125" s="272"/>
      <c r="I125" s="277"/>
      <c r="J125" s="280"/>
      <c r="K125" s="271"/>
      <c r="L125" s="281"/>
      <c r="M125" s="280"/>
      <c r="N125" s="271"/>
      <c r="O125" s="281"/>
      <c r="P125" s="280"/>
      <c r="Q125" s="271"/>
      <c r="R125" s="281"/>
      <c r="S125" s="280"/>
      <c r="T125" s="271"/>
      <c r="U125" s="281"/>
      <c r="V125" s="280"/>
      <c r="W125" s="271"/>
      <c r="X125" s="281"/>
      <c r="Y125" s="280"/>
      <c r="Z125" s="271"/>
      <c r="AA125" s="281"/>
      <c r="AB125" s="280"/>
      <c r="AC125" s="271"/>
      <c r="AD125" s="281"/>
      <c r="AE125" s="280"/>
      <c r="AF125" s="271"/>
      <c r="AG125" s="281"/>
    </row>
    <row r="126" spans="2:33" ht="12.75" customHeight="1" hidden="1">
      <c r="B126" s="271"/>
      <c r="C126" s="271" t="str">
        <f>Inscription!I125</f>
        <v>?</v>
      </c>
      <c r="D126" s="272">
        <f>Inscription!F125</f>
        <v>0</v>
      </c>
      <c r="E126" s="272">
        <f t="shared" si="18"/>
        <v>0</v>
      </c>
      <c r="F126" s="272">
        <f>Inscription!G125</f>
        <v>0</v>
      </c>
      <c r="G126" s="272">
        <f t="shared" si="19"/>
        <v>0</v>
      </c>
      <c r="H126" s="272"/>
      <c r="I126" s="277"/>
      <c r="J126" s="280"/>
      <c r="K126" s="271"/>
      <c r="L126" s="281"/>
      <c r="M126" s="280"/>
      <c r="N126" s="271"/>
      <c r="O126" s="281"/>
      <c r="P126" s="280"/>
      <c r="Q126" s="271"/>
      <c r="R126" s="281"/>
      <c r="S126" s="280"/>
      <c r="T126" s="271"/>
      <c r="U126" s="281"/>
      <c r="V126" s="280"/>
      <c r="W126" s="271"/>
      <c r="X126" s="281"/>
      <c r="Y126" s="280"/>
      <c r="Z126" s="271"/>
      <c r="AA126" s="281"/>
      <c r="AB126" s="280"/>
      <c r="AC126" s="271"/>
      <c r="AD126" s="281"/>
      <c r="AE126" s="280"/>
      <c r="AF126" s="271"/>
      <c r="AG126" s="281"/>
    </row>
    <row r="127" spans="2:33" ht="12.75" customHeight="1" hidden="1">
      <c r="B127" s="271"/>
      <c r="C127" s="271" t="str">
        <f>Inscription!I126</f>
        <v>?</v>
      </c>
      <c r="D127" s="272">
        <f>Inscription!F126</f>
        <v>0</v>
      </c>
      <c r="E127" s="272">
        <f t="shared" si="18"/>
        <v>0</v>
      </c>
      <c r="F127" s="272">
        <f>Inscription!G126</f>
        <v>0</v>
      </c>
      <c r="G127" s="272">
        <f t="shared" si="19"/>
        <v>0</v>
      </c>
      <c r="H127" s="272"/>
      <c r="I127" s="277"/>
      <c r="J127" s="280"/>
      <c r="K127" s="271"/>
      <c r="L127" s="281"/>
      <c r="M127" s="280"/>
      <c r="N127" s="271"/>
      <c r="O127" s="281"/>
      <c r="P127" s="280"/>
      <c r="Q127" s="271"/>
      <c r="R127" s="281"/>
      <c r="S127" s="280"/>
      <c r="T127" s="271"/>
      <c r="U127" s="281"/>
      <c r="V127" s="280"/>
      <c r="W127" s="271"/>
      <c r="X127" s="281"/>
      <c r="Y127" s="280"/>
      <c r="Z127" s="271"/>
      <c r="AA127" s="281"/>
      <c r="AB127" s="280"/>
      <c r="AC127" s="271"/>
      <c r="AD127" s="281"/>
      <c r="AE127" s="280"/>
      <c r="AF127" s="271"/>
      <c r="AG127" s="281"/>
    </row>
    <row r="128" spans="2:33" ht="12.75" customHeight="1" hidden="1">
      <c r="B128" s="271"/>
      <c r="C128" s="271" t="str">
        <f>Inscription!I127</f>
        <v>?</v>
      </c>
      <c r="D128" s="272">
        <f>Inscription!F127</f>
        <v>0</v>
      </c>
      <c r="E128" s="272">
        <f t="shared" si="18"/>
        <v>0</v>
      </c>
      <c r="F128" s="272">
        <f>Inscription!G127</f>
        <v>0</v>
      </c>
      <c r="G128" s="272">
        <f t="shared" si="19"/>
        <v>0</v>
      </c>
      <c r="H128" s="272"/>
      <c r="I128" s="277"/>
      <c r="J128" s="280"/>
      <c r="K128" s="271"/>
      <c r="L128" s="281"/>
      <c r="M128" s="280"/>
      <c r="N128" s="271"/>
      <c r="O128" s="281"/>
      <c r="P128" s="280"/>
      <c r="Q128" s="271"/>
      <c r="R128" s="281"/>
      <c r="S128" s="280"/>
      <c r="T128" s="271"/>
      <c r="U128" s="281"/>
      <c r="V128" s="280"/>
      <c r="W128" s="271"/>
      <c r="X128" s="281"/>
      <c r="Y128" s="280"/>
      <c r="Z128" s="271"/>
      <c r="AA128" s="281"/>
      <c r="AB128" s="280"/>
      <c r="AC128" s="271"/>
      <c r="AD128" s="281"/>
      <c r="AE128" s="280"/>
      <c r="AF128" s="271"/>
      <c r="AG128" s="281"/>
    </row>
    <row r="129" spans="2:33" ht="12.75" customHeight="1" hidden="1">
      <c r="B129" s="271"/>
      <c r="C129" s="271" t="str">
        <f>Inscription!I128</f>
        <v>?</v>
      </c>
      <c r="D129" s="272">
        <f>Inscription!F128</f>
        <v>0</v>
      </c>
      <c r="E129" s="272">
        <f t="shared" si="18"/>
        <v>0</v>
      </c>
      <c r="F129" s="272">
        <f>Inscription!G128</f>
        <v>0</v>
      </c>
      <c r="G129" s="272">
        <f t="shared" si="19"/>
        <v>0</v>
      </c>
      <c r="H129" s="272"/>
      <c r="I129" s="277"/>
      <c r="J129" s="280"/>
      <c r="K129" s="271"/>
      <c r="L129" s="281"/>
      <c r="M129" s="280"/>
      <c r="N129" s="271"/>
      <c r="O129" s="281"/>
      <c r="P129" s="280"/>
      <c r="Q129" s="271"/>
      <c r="R129" s="281"/>
      <c r="S129" s="280"/>
      <c r="T129" s="271"/>
      <c r="U129" s="281"/>
      <c r="V129" s="280"/>
      <c r="W129" s="271"/>
      <c r="X129" s="281"/>
      <c r="Y129" s="280"/>
      <c r="Z129" s="271"/>
      <c r="AA129" s="281"/>
      <c r="AB129" s="280"/>
      <c r="AC129" s="271"/>
      <c r="AD129" s="281"/>
      <c r="AE129" s="280"/>
      <c r="AF129" s="271"/>
      <c r="AG129" s="281"/>
    </row>
    <row r="130" spans="2:33" ht="12.75" customHeight="1" hidden="1">
      <c r="B130" s="271"/>
      <c r="C130" s="271" t="str">
        <f>Inscription!I129</f>
        <v>?</v>
      </c>
      <c r="D130" s="272">
        <f>Inscription!F129</f>
        <v>0</v>
      </c>
      <c r="E130" s="272">
        <f t="shared" si="18"/>
        <v>0</v>
      </c>
      <c r="F130" s="272">
        <f>Inscription!G129</f>
        <v>0</v>
      </c>
      <c r="G130" s="272">
        <f t="shared" si="19"/>
        <v>0</v>
      </c>
      <c r="H130" s="272"/>
      <c r="I130" s="277"/>
      <c r="J130" s="280"/>
      <c r="K130" s="271"/>
      <c r="L130" s="281"/>
      <c r="M130" s="280"/>
      <c r="N130" s="271"/>
      <c r="O130" s="281"/>
      <c r="P130" s="280"/>
      <c r="Q130" s="271"/>
      <c r="R130" s="281"/>
      <c r="S130" s="280"/>
      <c r="T130" s="271"/>
      <c r="U130" s="281"/>
      <c r="V130" s="280"/>
      <c r="W130" s="271"/>
      <c r="X130" s="281"/>
      <c r="Y130" s="280"/>
      <c r="Z130" s="271"/>
      <c r="AA130" s="281"/>
      <c r="AB130" s="280"/>
      <c r="AC130" s="271"/>
      <c r="AD130" s="281"/>
      <c r="AE130" s="280"/>
      <c r="AF130" s="271"/>
      <c r="AG130" s="281"/>
    </row>
    <row r="131" spans="2:33" ht="12.75" customHeight="1" hidden="1">
      <c r="B131" s="271"/>
      <c r="C131" s="271" t="str">
        <f>Inscription!I130</f>
        <v>?</v>
      </c>
      <c r="D131" s="272">
        <f>Inscription!F130</f>
        <v>0</v>
      </c>
      <c r="E131" s="272">
        <f t="shared" si="18"/>
        <v>0</v>
      </c>
      <c r="F131" s="272">
        <f>Inscription!G130</f>
        <v>0</v>
      </c>
      <c r="G131" s="272">
        <f t="shared" si="19"/>
        <v>0</v>
      </c>
      <c r="H131" s="272"/>
      <c r="I131" s="277"/>
      <c r="J131" s="280"/>
      <c r="K131" s="271"/>
      <c r="L131" s="281"/>
      <c r="M131" s="280"/>
      <c r="N131" s="271"/>
      <c r="O131" s="281"/>
      <c r="P131" s="280"/>
      <c r="Q131" s="271"/>
      <c r="R131" s="281"/>
      <c r="S131" s="280"/>
      <c r="T131" s="271"/>
      <c r="U131" s="281"/>
      <c r="V131" s="280"/>
      <c r="W131" s="271"/>
      <c r="X131" s="281"/>
      <c r="Y131" s="280"/>
      <c r="Z131" s="271"/>
      <c r="AA131" s="281"/>
      <c r="AB131" s="280"/>
      <c r="AC131" s="271"/>
      <c r="AD131" s="281"/>
      <c r="AE131" s="280"/>
      <c r="AF131" s="271"/>
      <c r="AG131" s="281"/>
    </row>
    <row r="132" spans="2:33" ht="12.75" customHeight="1" hidden="1">
      <c r="B132" s="271"/>
      <c r="C132" s="271" t="str">
        <f>Inscription!I131</f>
        <v>?</v>
      </c>
      <c r="D132" s="272">
        <f>Inscription!F131</f>
        <v>0</v>
      </c>
      <c r="E132" s="272">
        <f t="shared" si="18"/>
        <v>0</v>
      </c>
      <c r="F132" s="272">
        <f>Inscription!G131</f>
        <v>0</v>
      </c>
      <c r="G132" s="272">
        <f t="shared" si="19"/>
        <v>0</v>
      </c>
      <c r="H132" s="272"/>
      <c r="I132" s="277"/>
      <c r="J132" s="280"/>
      <c r="K132" s="271"/>
      <c r="L132" s="281"/>
      <c r="M132" s="280"/>
      <c r="N132" s="271"/>
      <c r="O132" s="281"/>
      <c r="P132" s="280"/>
      <c r="Q132" s="271"/>
      <c r="R132" s="281"/>
      <c r="S132" s="280"/>
      <c r="T132" s="271"/>
      <c r="U132" s="281"/>
      <c r="V132" s="280"/>
      <c r="W132" s="271"/>
      <c r="X132" s="281"/>
      <c r="Y132" s="280"/>
      <c r="Z132" s="271"/>
      <c r="AA132" s="281"/>
      <c r="AB132" s="280"/>
      <c r="AC132" s="271"/>
      <c r="AD132" s="281"/>
      <c r="AE132" s="280"/>
      <c r="AF132" s="271"/>
      <c r="AG132" s="281"/>
    </row>
    <row r="133" spans="2:33" ht="12.75" customHeight="1" hidden="1">
      <c r="B133" s="271"/>
      <c r="C133" s="271" t="str">
        <f>Inscription!I132</f>
        <v>?</v>
      </c>
      <c r="D133" s="272">
        <f>Inscription!F132</f>
        <v>0</v>
      </c>
      <c r="E133" s="272">
        <f aca="true" t="shared" si="20" ref="E133:E138">IF(D133&lt;&gt;0,1,0)</f>
        <v>0</v>
      </c>
      <c r="F133" s="272">
        <f>Inscription!G132</f>
        <v>0</v>
      </c>
      <c r="G133" s="272">
        <f aca="true" t="shared" si="21" ref="G133:G138">IF(F133&lt;&gt;0,1,0)</f>
        <v>0</v>
      </c>
      <c r="H133" s="272"/>
      <c r="I133" s="277"/>
      <c r="J133" s="280"/>
      <c r="K133" s="271"/>
      <c r="L133" s="281"/>
      <c r="M133" s="280"/>
      <c r="N133" s="271"/>
      <c r="O133" s="281"/>
      <c r="P133" s="280"/>
      <c r="Q133" s="271"/>
      <c r="R133" s="281"/>
      <c r="S133" s="280"/>
      <c r="T133" s="271"/>
      <c r="U133" s="281"/>
      <c r="V133" s="280"/>
      <c r="W133" s="271"/>
      <c r="X133" s="281"/>
      <c r="Y133" s="280"/>
      <c r="Z133" s="271"/>
      <c r="AA133" s="281"/>
      <c r="AB133" s="280"/>
      <c r="AC133" s="271"/>
      <c r="AD133" s="281"/>
      <c r="AE133" s="280"/>
      <c r="AF133" s="271"/>
      <c r="AG133" s="281"/>
    </row>
    <row r="134" spans="2:33" ht="12.75" customHeight="1" hidden="1">
      <c r="B134" s="271"/>
      <c r="C134" s="271" t="str">
        <f>Inscription!I133</f>
        <v>?</v>
      </c>
      <c r="D134" s="272">
        <f>Inscription!F133</f>
        <v>0</v>
      </c>
      <c r="E134" s="272">
        <f t="shared" si="20"/>
        <v>0</v>
      </c>
      <c r="F134" s="272">
        <f>Inscription!G133</f>
        <v>0</v>
      </c>
      <c r="G134" s="272">
        <f t="shared" si="21"/>
        <v>0</v>
      </c>
      <c r="H134" s="272"/>
      <c r="I134" s="277"/>
      <c r="J134" s="280"/>
      <c r="K134" s="271"/>
      <c r="L134" s="281"/>
      <c r="M134" s="280"/>
      <c r="N134" s="271"/>
      <c r="O134" s="281"/>
      <c r="P134" s="280"/>
      <c r="Q134" s="271"/>
      <c r="R134" s="281"/>
      <c r="S134" s="280"/>
      <c r="T134" s="271"/>
      <c r="U134" s="281"/>
      <c r="V134" s="280"/>
      <c r="W134" s="271"/>
      <c r="X134" s="281"/>
      <c r="Y134" s="280"/>
      <c r="Z134" s="271"/>
      <c r="AA134" s="281"/>
      <c r="AB134" s="280"/>
      <c r="AC134" s="271"/>
      <c r="AD134" s="281"/>
      <c r="AE134" s="280"/>
      <c r="AF134" s="271"/>
      <c r="AG134" s="281"/>
    </row>
    <row r="135" spans="2:33" ht="12.75" customHeight="1" hidden="1">
      <c r="B135" s="271"/>
      <c r="C135" s="271" t="str">
        <f>Inscription!I134</f>
        <v>?</v>
      </c>
      <c r="D135" s="272">
        <f>Inscription!F134</f>
        <v>0</v>
      </c>
      <c r="E135" s="272">
        <f t="shared" si="20"/>
        <v>0</v>
      </c>
      <c r="F135" s="272">
        <f>Inscription!G134</f>
        <v>0</v>
      </c>
      <c r="G135" s="272">
        <f t="shared" si="21"/>
        <v>0</v>
      </c>
      <c r="H135" s="272"/>
      <c r="I135" s="277"/>
      <c r="J135" s="280"/>
      <c r="K135" s="271"/>
      <c r="L135" s="281"/>
      <c r="M135" s="280"/>
      <c r="N135" s="271"/>
      <c r="O135" s="281"/>
      <c r="P135" s="280"/>
      <c r="Q135" s="271"/>
      <c r="R135" s="281"/>
      <c r="S135" s="280"/>
      <c r="T135" s="271"/>
      <c r="U135" s="281"/>
      <c r="V135" s="280"/>
      <c r="W135" s="271"/>
      <c r="X135" s="281"/>
      <c r="Y135" s="280"/>
      <c r="Z135" s="271"/>
      <c r="AA135" s="281"/>
      <c r="AB135" s="280"/>
      <c r="AC135" s="271"/>
      <c r="AD135" s="281"/>
      <c r="AE135" s="280"/>
      <c r="AF135" s="271"/>
      <c r="AG135" s="281"/>
    </row>
    <row r="136" spans="2:33" ht="12.75" customHeight="1" hidden="1">
      <c r="B136" s="271"/>
      <c r="C136" s="271" t="str">
        <f>Inscription!I135</f>
        <v>?</v>
      </c>
      <c r="D136" s="272">
        <f>Inscription!F135</f>
        <v>0</v>
      </c>
      <c r="E136" s="272">
        <f t="shared" si="20"/>
        <v>0</v>
      </c>
      <c r="F136" s="272">
        <f>Inscription!G135</f>
        <v>0</v>
      </c>
      <c r="G136" s="272">
        <f t="shared" si="21"/>
        <v>0</v>
      </c>
      <c r="H136" s="272"/>
      <c r="I136" s="277"/>
      <c r="J136" s="280">
        <f>IF(AND(C47&lt;9,E47=1),1,0)</f>
        <v>0</v>
      </c>
      <c r="K136" s="271">
        <f>IF(AND(C47&lt;9,G47=1),1,0)</f>
        <v>0</v>
      </c>
      <c r="L136" s="281"/>
      <c r="M136" s="280">
        <f>IF(AND(C47=9,E47=1),1,0)</f>
        <v>0</v>
      </c>
      <c r="N136" s="271">
        <f>IF(AND(C47=9,G47=1),1,0)</f>
        <v>0</v>
      </c>
      <c r="O136" s="281"/>
      <c r="P136" s="280">
        <f>IF(AND(C47=10,E47=1),1,0)</f>
        <v>0</v>
      </c>
      <c r="Q136" s="271">
        <f>IF(AND(C47=10,G47=1),1,0)</f>
        <v>0</v>
      </c>
      <c r="R136" s="281"/>
      <c r="S136" s="280">
        <f>IF(AND(C47=11,E47=1),1,0)</f>
        <v>0</v>
      </c>
      <c r="T136" s="271">
        <f>IF(AND(C47=11,G47=1),1,0)</f>
        <v>0</v>
      </c>
      <c r="U136" s="281"/>
      <c r="V136" s="280">
        <f>IF(AND(C47=12,E47=1),1,0)</f>
        <v>1</v>
      </c>
      <c r="W136" s="271">
        <f>IF(AND(C47=12,G47=1),1,0)</f>
        <v>0</v>
      </c>
      <c r="X136" s="281"/>
      <c r="Y136" s="280">
        <f>IF(AND(C47=13,E47=1),1,0)</f>
        <v>0</v>
      </c>
      <c r="Z136" s="271">
        <f>IF(AND(C47=13,G47=1),1,0)</f>
        <v>0</v>
      </c>
      <c r="AA136" s="281"/>
      <c r="AB136" s="280">
        <f>IF(AND(C47=14,E47=1),1,0)</f>
        <v>0</v>
      </c>
      <c r="AC136" s="271">
        <f>IF(AND(C47=14,G47=1),1,0)</f>
        <v>0</v>
      </c>
      <c r="AD136" s="281"/>
      <c r="AE136" s="280">
        <f>IF(AND(C47&gt;14,E47=1),1,0)</f>
        <v>0</v>
      </c>
      <c r="AF136" s="271">
        <f>IF(AND(C47&gt;14,G47=1),1,0)</f>
        <v>0</v>
      </c>
      <c r="AG136" s="281"/>
    </row>
    <row r="137" spans="2:33" ht="12.75" customHeight="1" hidden="1">
      <c r="B137" s="271"/>
      <c r="C137" s="271" t="str">
        <f>Inscription!I136</f>
        <v>?</v>
      </c>
      <c r="D137" s="272">
        <f>Inscription!F136</f>
        <v>0</v>
      </c>
      <c r="E137" s="272">
        <f t="shared" si="20"/>
        <v>0</v>
      </c>
      <c r="F137" s="272">
        <f>Inscription!G136</f>
        <v>0</v>
      </c>
      <c r="G137" s="272">
        <f t="shared" si="21"/>
        <v>0</v>
      </c>
      <c r="H137" s="272"/>
      <c r="I137" s="277"/>
      <c r="J137" s="280">
        <f>IF(AND(C48&lt;9,E48=1),1,0)</f>
        <v>0</v>
      </c>
      <c r="K137" s="271">
        <f>IF(AND(C48&lt;9,G48=1),1,0)</f>
        <v>0</v>
      </c>
      <c r="L137" s="281"/>
      <c r="M137" s="280">
        <f>IF(AND(C48=9,E48=1),1,0)</f>
        <v>0</v>
      </c>
      <c r="N137" s="271">
        <f>IF(AND(C48=9,G48=1),1,0)</f>
        <v>0</v>
      </c>
      <c r="O137" s="281"/>
      <c r="P137" s="280">
        <f>IF(AND(C48=10,E48=1),1,0)</f>
        <v>0</v>
      </c>
      <c r="Q137" s="271">
        <f>IF(AND(C48=10,G48=1),1,0)</f>
        <v>0</v>
      </c>
      <c r="R137" s="281"/>
      <c r="S137" s="280">
        <f>IF(AND(C48=11,E48=1),1,0)</f>
        <v>0</v>
      </c>
      <c r="T137" s="271">
        <f>IF(AND(C48=11,G48=1),1,0)</f>
        <v>0</v>
      </c>
      <c r="U137" s="281"/>
      <c r="V137" s="280">
        <f>IF(AND(C48=12,E48=1),1,0)</f>
        <v>0</v>
      </c>
      <c r="W137" s="271">
        <f>IF(AND(C48=12,G48=1),1,0)</f>
        <v>0</v>
      </c>
      <c r="X137" s="281"/>
      <c r="Y137" s="280">
        <f>IF(AND(C48=13,E48=1),1,0)</f>
        <v>1</v>
      </c>
      <c r="Z137" s="271">
        <f>IF(AND(C48=13,G48=1),1,0)</f>
        <v>0</v>
      </c>
      <c r="AA137" s="281"/>
      <c r="AB137" s="280">
        <f>IF(AND(C48=14,E48=1),1,0)</f>
        <v>0</v>
      </c>
      <c r="AC137" s="271">
        <f>IF(AND(C48=14,G48=1),1,0)</f>
        <v>0</v>
      </c>
      <c r="AD137" s="281"/>
      <c r="AE137" s="280">
        <f>IF(AND(C48&gt;14,E48=1),1,0)</f>
        <v>0</v>
      </c>
      <c r="AF137" s="271">
        <f>IF(AND(C48&gt;14,G48=1),1,0)</f>
        <v>0</v>
      </c>
      <c r="AG137" s="281"/>
    </row>
    <row r="138" spans="2:33" ht="12.75" customHeight="1" hidden="1">
      <c r="B138" s="271"/>
      <c r="C138" s="271" t="str">
        <f>Inscription!I137</f>
        <v>?</v>
      </c>
      <c r="D138" s="272">
        <f>Inscription!F137</f>
        <v>0</v>
      </c>
      <c r="E138" s="272">
        <f t="shared" si="20"/>
        <v>0</v>
      </c>
      <c r="F138" s="272">
        <f>Inscription!G137</f>
        <v>0</v>
      </c>
      <c r="G138" s="272">
        <f t="shared" si="21"/>
        <v>0</v>
      </c>
      <c r="H138" s="272"/>
      <c r="I138" s="277"/>
      <c r="J138" s="280">
        <f>IF(AND(C49&lt;9,E49=1),1,0)</f>
        <v>0</v>
      </c>
      <c r="K138" s="271">
        <f>IF(AND(C49&lt;9,G49=1),1,0)</f>
        <v>0</v>
      </c>
      <c r="L138" s="281"/>
      <c r="M138" s="280">
        <f>IF(AND(C49=9,E49=1),1,0)</f>
        <v>1</v>
      </c>
      <c r="N138" s="271">
        <f>IF(AND(C49=9,G49=1),1,0)</f>
        <v>0</v>
      </c>
      <c r="O138" s="281"/>
      <c r="P138" s="280">
        <f>IF(AND(C49=10,E49=1),1,0)</f>
        <v>0</v>
      </c>
      <c r="Q138" s="271">
        <f>IF(AND(C49=10,G49=1),1,0)</f>
        <v>0</v>
      </c>
      <c r="R138" s="281"/>
      <c r="S138" s="280">
        <f>IF(AND(C49=11,E49=1),1,0)</f>
        <v>0</v>
      </c>
      <c r="T138" s="271">
        <f>IF(AND(C49=11,G49=1),1,0)</f>
        <v>0</v>
      </c>
      <c r="U138" s="281"/>
      <c r="V138" s="280">
        <f>IF(AND(C49=12,E49=1),1,0)</f>
        <v>0</v>
      </c>
      <c r="W138" s="271">
        <f>IF(AND(C49=12,G49=1),1,0)</f>
        <v>0</v>
      </c>
      <c r="X138" s="281"/>
      <c r="Y138" s="280">
        <f>IF(AND(C49=13,E49=1),1,0)</f>
        <v>0</v>
      </c>
      <c r="Z138" s="271">
        <f>IF(AND(C49=13,G49=1),1,0)</f>
        <v>0</v>
      </c>
      <c r="AA138" s="281"/>
      <c r="AB138" s="280">
        <f>IF(AND(C49=14,E49=1),1,0)</f>
        <v>0</v>
      </c>
      <c r="AC138" s="271">
        <f>IF(AND(C49=14,G49=1),1,0)</f>
        <v>0</v>
      </c>
      <c r="AD138" s="281"/>
      <c r="AE138" s="280">
        <f>IF(AND(C49&gt;14,E49=1),1,0)</f>
        <v>0</v>
      </c>
      <c r="AF138" s="271">
        <f>IF(AND(C49&gt;14,G49=1),1,0)</f>
        <v>0</v>
      </c>
      <c r="AG138" s="281"/>
    </row>
    <row r="139" spans="2:33" s="1" customFormat="1" ht="12.75">
      <c r="B139" s="272" t="s">
        <v>71</v>
      </c>
      <c r="C139" s="272"/>
      <c r="D139" s="272"/>
      <c r="E139" s="272">
        <f>SUM(E4:E138)</f>
        <v>38</v>
      </c>
      <c r="F139" s="272"/>
      <c r="G139" s="272">
        <f>SUM(G4:G138)</f>
        <v>16</v>
      </c>
      <c r="H139" s="272">
        <f>SUM(E139:G139)</f>
        <v>54</v>
      </c>
      <c r="I139" s="278"/>
      <c r="J139" s="287">
        <f>SUM(J4:J138)</f>
        <v>2</v>
      </c>
      <c r="K139" s="289">
        <f aca="true" t="shared" si="22" ref="K139:AF139">SUM(K4:K138)</f>
        <v>2</v>
      </c>
      <c r="L139" s="291">
        <f>SUM(J139:K139)</f>
        <v>4</v>
      </c>
      <c r="M139" s="287">
        <f t="shared" si="22"/>
        <v>6</v>
      </c>
      <c r="N139" s="289">
        <f t="shared" si="22"/>
        <v>4</v>
      </c>
      <c r="O139" s="291">
        <f>SUM(M139:N139)</f>
        <v>10</v>
      </c>
      <c r="P139" s="287">
        <f t="shared" si="22"/>
        <v>5</v>
      </c>
      <c r="Q139" s="289">
        <f t="shared" si="22"/>
        <v>5</v>
      </c>
      <c r="R139" s="291">
        <f>SUM(P139:Q139)</f>
        <v>10</v>
      </c>
      <c r="S139" s="287">
        <f t="shared" si="22"/>
        <v>8</v>
      </c>
      <c r="T139" s="289">
        <f t="shared" si="22"/>
        <v>3</v>
      </c>
      <c r="U139" s="291">
        <f>SUM(S139:T139)</f>
        <v>11</v>
      </c>
      <c r="V139" s="287">
        <f t="shared" si="22"/>
        <v>5</v>
      </c>
      <c r="W139" s="289">
        <f t="shared" si="22"/>
        <v>0</v>
      </c>
      <c r="X139" s="291">
        <f>SUM(V139:W139)</f>
        <v>5</v>
      </c>
      <c r="Y139" s="287">
        <f t="shared" si="22"/>
        <v>3</v>
      </c>
      <c r="Z139" s="289">
        <f t="shared" si="22"/>
        <v>0</v>
      </c>
      <c r="AA139" s="291">
        <f>SUM(Y139:Z139)</f>
        <v>3</v>
      </c>
      <c r="AB139" s="287">
        <f t="shared" si="22"/>
        <v>0</v>
      </c>
      <c r="AC139" s="289">
        <f t="shared" si="22"/>
        <v>0</v>
      </c>
      <c r="AD139" s="291">
        <f>SUM(AB139:AC139)</f>
        <v>0</v>
      </c>
      <c r="AE139" s="287">
        <f t="shared" si="22"/>
        <v>0</v>
      </c>
      <c r="AF139" s="289">
        <f t="shared" si="22"/>
        <v>0</v>
      </c>
      <c r="AG139" s="291">
        <f>SUM(AE139:AF139)</f>
        <v>0</v>
      </c>
    </row>
    <row r="140" spans="2:33" s="1" customFormat="1" ht="12.75">
      <c r="B140" s="274" t="s">
        <v>82</v>
      </c>
      <c r="C140" s="272"/>
      <c r="D140" s="272"/>
      <c r="E140" s="275">
        <f>E139/(E139+G139)</f>
        <v>0.7037037037037037</v>
      </c>
      <c r="F140" s="275"/>
      <c r="G140" s="275">
        <f>G139/(E139+G139)</f>
        <v>0.2962962962962963</v>
      </c>
      <c r="H140" s="275"/>
      <c r="I140" s="279"/>
      <c r="J140" s="288">
        <f>IF($J141=0,"",J139/$J141)</f>
        <v>0.5</v>
      </c>
      <c r="K140" s="290">
        <f>IF($J141=0,"",K139/$J141)</f>
        <v>0.5</v>
      </c>
      <c r="L140" s="292"/>
      <c r="M140" s="288">
        <f>IF($M141=0,"",M139/$M141)</f>
        <v>0.6</v>
      </c>
      <c r="N140" s="290">
        <f>IF($M141=0,"",N139/$M141)</f>
        <v>0.4</v>
      </c>
      <c r="O140" s="292"/>
      <c r="P140" s="288">
        <f>IF($P141=0,"",P139/$P141)</f>
        <v>0.5</v>
      </c>
      <c r="Q140" s="290">
        <f>IF($P141=0,"",Q139/$P141)</f>
        <v>0.5</v>
      </c>
      <c r="R140" s="292"/>
      <c r="S140" s="288">
        <f>IF($S141=0,"",S139/$S141)</f>
        <v>0.7272727272727273</v>
      </c>
      <c r="T140" s="290">
        <f>IF($S141=0,"",T139/$S141)</f>
        <v>0.2727272727272727</v>
      </c>
      <c r="U140" s="292"/>
      <c r="V140" s="288">
        <f>IF($V141=0,"",V139/$V141)</f>
        <v>1</v>
      </c>
      <c r="W140" s="290">
        <f>IF($V141=0,"",W139/$V141)</f>
        <v>0</v>
      </c>
      <c r="X140" s="292"/>
      <c r="Y140" s="288">
        <f>IF($Y141=0,"",Y139/$Y141)</f>
        <v>1</v>
      </c>
      <c r="Z140" s="290">
        <f>IF($Y141=0,"",Z139/$Y141)</f>
        <v>0</v>
      </c>
      <c r="AA140" s="292"/>
      <c r="AB140" s="288">
        <f>IF($AB141=0,"",AB139/$AB141)</f>
      </c>
      <c r="AC140" s="290">
        <f>IF($AB141=0,"",AC139/$AB141)</f>
      </c>
      <c r="AD140" s="292"/>
      <c r="AE140" s="288">
        <f>IF($AE141=0,"",AE139/$AE141)</f>
      </c>
      <c r="AF140" s="290">
        <f>IF(AF141=0,"",AF139/AF141)</f>
      </c>
      <c r="AG140" s="292"/>
    </row>
    <row r="141" spans="2:33" ht="12.75" customHeight="1" hidden="1">
      <c r="B141" s="274" t="s">
        <v>32</v>
      </c>
      <c r="C141" s="271"/>
      <c r="D141" s="272"/>
      <c r="E141" s="358">
        <f>SUM(J141:AF141)</f>
        <v>43</v>
      </c>
      <c r="F141" s="358"/>
      <c r="G141" s="358"/>
      <c r="H141" s="276"/>
      <c r="I141" s="277"/>
      <c r="J141" s="350">
        <f>J139+K139</f>
        <v>4</v>
      </c>
      <c r="K141" s="351"/>
      <c r="L141" s="282"/>
      <c r="M141" s="350">
        <f>M139+N139</f>
        <v>10</v>
      </c>
      <c r="N141" s="351"/>
      <c r="O141" s="282"/>
      <c r="P141" s="350">
        <f>P139+Q139</f>
        <v>10</v>
      </c>
      <c r="Q141" s="351"/>
      <c r="R141" s="282"/>
      <c r="S141" s="350">
        <f>S139+T139</f>
        <v>11</v>
      </c>
      <c r="T141" s="351"/>
      <c r="U141" s="282"/>
      <c r="V141" s="350">
        <f>V139+W139</f>
        <v>5</v>
      </c>
      <c r="W141" s="351"/>
      <c r="X141" s="282"/>
      <c r="Y141" s="350">
        <f>Y139+Z139</f>
        <v>3</v>
      </c>
      <c r="Z141" s="351"/>
      <c r="AA141" s="282"/>
      <c r="AB141" s="350">
        <f>AB139+AC139</f>
        <v>0</v>
      </c>
      <c r="AC141" s="351"/>
      <c r="AD141" s="282"/>
      <c r="AE141" s="350">
        <f>AE139+AF139</f>
        <v>0</v>
      </c>
      <c r="AF141" s="351"/>
      <c r="AG141" s="282"/>
    </row>
    <row r="142" spans="2:33" ht="13.5" thickBot="1">
      <c r="B142" s="274" t="s">
        <v>83</v>
      </c>
      <c r="C142" s="271"/>
      <c r="D142" s="272"/>
      <c r="E142" s="276"/>
      <c r="F142" s="276"/>
      <c r="G142" s="276"/>
      <c r="H142" s="276"/>
      <c r="I142" s="277"/>
      <c r="J142" s="352">
        <f>J141/$E141</f>
        <v>0.09302325581395349</v>
      </c>
      <c r="K142" s="353"/>
      <c r="L142" s="354"/>
      <c r="M142" s="352">
        <f>M141/$E141</f>
        <v>0.23255813953488372</v>
      </c>
      <c r="N142" s="353"/>
      <c r="O142" s="354"/>
      <c r="P142" s="352">
        <f>P141/$E141</f>
        <v>0.23255813953488372</v>
      </c>
      <c r="Q142" s="353"/>
      <c r="R142" s="354"/>
      <c r="S142" s="352">
        <f>S141/$E141</f>
        <v>0.2558139534883721</v>
      </c>
      <c r="T142" s="353"/>
      <c r="U142" s="354"/>
      <c r="V142" s="352">
        <f>V141/$E141</f>
        <v>0.11627906976744186</v>
      </c>
      <c r="W142" s="353"/>
      <c r="X142" s="354"/>
      <c r="Y142" s="352">
        <f>Y141/$E141</f>
        <v>0.06976744186046512</v>
      </c>
      <c r="Z142" s="353"/>
      <c r="AA142" s="354"/>
      <c r="AB142" s="352">
        <f>AB141/$E141</f>
        <v>0</v>
      </c>
      <c r="AC142" s="353"/>
      <c r="AD142" s="354"/>
      <c r="AE142" s="352">
        <f>AE141/$E141</f>
        <v>0</v>
      </c>
      <c r="AF142" s="353"/>
      <c r="AG142" s="354"/>
    </row>
    <row r="143" spans="5:32" ht="12.75">
      <c r="E143" s="264"/>
      <c r="F143" s="264"/>
      <c r="G143" s="264"/>
      <c r="H143" s="264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0:32" ht="12.75">
      <c r="J144" s="268" t="s">
        <v>72</v>
      </c>
      <c r="K144" s="268" t="s">
        <v>73</v>
      </c>
      <c r="L144" s="268"/>
      <c r="M144" s="268" t="s">
        <v>74</v>
      </c>
      <c r="N144" s="268" t="s">
        <v>75</v>
      </c>
      <c r="O144" s="268"/>
      <c r="P144" s="268" t="s">
        <v>76</v>
      </c>
      <c r="Q144" s="268" t="s">
        <v>77</v>
      </c>
      <c r="R144" s="268"/>
      <c r="S144" s="268" t="s">
        <v>78</v>
      </c>
      <c r="T144" s="268" t="s">
        <v>79</v>
      </c>
      <c r="U144" s="268"/>
      <c r="V144" s="268" t="s">
        <v>80</v>
      </c>
      <c r="W144" s="268" t="s">
        <v>81</v>
      </c>
      <c r="X144" s="268"/>
      <c r="Y144" s="267"/>
      <c r="Z144" s="267"/>
      <c r="AA144" s="267"/>
      <c r="AB144" s="267"/>
      <c r="AC144" s="267"/>
      <c r="AD144" s="267"/>
      <c r="AE144" s="267"/>
      <c r="AF144" s="267"/>
    </row>
    <row r="145" spans="7:32" ht="12.75">
      <c r="G145" s="1" t="s">
        <v>84</v>
      </c>
      <c r="J145" s="266">
        <f>SUM(J141:N141)</f>
        <v>14</v>
      </c>
      <c r="K145" s="266">
        <f>SUM(P141:AF141)</f>
        <v>29</v>
      </c>
      <c r="L145" s="266"/>
      <c r="M145" s="266">
        <f>SUM(J141:Q141)</f>
        <v>24</v>
      </c>
      <c r="N145" s="266">
        <f>SUM(S141:AF141)</f>
        <v>19</v>
      </c>
      <c r="O145" s="266"/>
      <c r="P145" s="266">
        <f>SUM(J141:T141)</f>
        <v>35</v>
      </c>
      <c r="Q145" s="266">
        <f>SUM(V141:AF141)</f>
        <v>8</v>
      </c>
      <c r="R145" s="266"/>
      <c r="S145" s="266">
        <f>SUM(J141:W141)</f>
        <v>40</v>
      </c>
      <c r="T145" s="266">
        <f>SUM(Y141:AF141)</f>
        <v>3</v>
      </c>
      <c r="U145" s="266"/>
      <c r="V145" s="266">
        <f>SUM(J141:AC141)</f>
        <v>43</v>
      </c>
      <c r="W145" s="266">
        <f>AE141</f>
        <v>0</v>
      </c>
      <c r="X145" s="266"/>
      <c r="Y145" s="266"/>
      <c r="Z145" s="266"/>
      <c r="AA145" s="266"/>
      <c r="AB145" s="266"/>
      <c r="AC145" s="266"/>
      <c r="AD145" s="266"/>
      <c r="AE145" s="266"/>
      <c r="AF145" s="266"/>
    </row>
    <row r="146" spans="7:32" ht="12.75">
      <c r="G146" s="1" t="s">
        <v>85</v>
      </c>
      <c r="J146" s="269">
        <f>$J145/(J145+$K145)</f>
        <v>0.32558139534883723</v>
      </c>
      <c r="K146" s="269">
        <f>K145/(J145+K145)</f>
        <v>0.6744186046511628</v>
      </c>
      <c r="L146" s="269"/>
      <c r="M146" s="269">
        <f>M145/(M145+N145)</f>
        <v>0.5581395348837209</v>
      </c>
      <c r="N146" s="269">
        <f>N145/($M145+$N145)</f>
        <v>0.4418604651162791</v>
      </c>
      <c r="O146" s="269"/>
      <c r="P146" s="269">
        <f>P145/(P145+Q145)</f>
        <v>0.813953488372093</v>
      </c>
      <c r="Q146" s="269">
        <f>Q145/(P145+Q145)</f>
        <v>0.18604651162790697</v>
      </c>
      <c r="R146" s="269"/>
      <c r="S146" s="269">
        <f>S145/(S145+T145)</f>
        <v>0.9302325581395349</v>
      </c>
      <c r="T146" s="269">
        <f>T145/(S145+T145)</f>
        <v>0.06976744186046512</v>
      </c>
      <c r="U146" s="269"/>
      <c r="V146" s="269">
        <f>V145/(V145+W145)</f>
        <v>1</v>
      </c>
      <c r="W146" s="269">
        <f>V145/(V145+W145)</f>
        <v>1</v>
      </c>
      <c r="X146" s="269"/>
      <c r="Y146" s="266"/>
      <c r="Z146" s="266"/>
      <c r="AA146" s="266"/>
      <c r="AB146" s="266"/>
      <c r="AC146" s="266"/>
      <c r="AD146" s="266"/>
      <c r="AE146" s="266"/>
      <c r="AF146" s="266"/>
    </row>
    <row r="152" spans="5:33" ht="12.75">
      <c r="E152" s="262" t="s">
        <v>68</v>
      </c>
      <c r="G152" s="262" t="s">
        <v>69</v>
      </c>
      <c r="H152" s="262" t="s">
        <v>32</v>
      </c>
      <c r="J152" s="270" t="str">
        <f>J2</f>
        <v>Moins de 9 ans</v>
      </c>
      <c r="K152" s="270" t="str">
        <f>M2</f>
        <v>9 ans</v>
      </c>
      <c r="L152" s="270" t="str">
        <f>P2</f>
        <v>10 ans</v>
      </c>
      <c r="M152" s="270" t="str">
        <f>S2</f>
        <v>11 ans</v>
      </c>
      <c r="N152" s="270" t="str">
        <f>V2</f>
        <v>12 ans</v>
      </c>
      <c r="O152" s="270" t="str">
        <f>Y2</f>
        <v>13 ans</v>
      </c>
      <c r="P152" s="270" t="str">
        <f>AB2</f>
        <v>14 ans</v>
      </c>
      <c r="Q152" s="270" t="str">
        <f>AE2</f>
        <v>Plus de 14 ans</v>
      </c>
      <c r="R152" s="270"/>
      <c r="S152" s="270"/>
      <c r="T152" s="270"/>
      <c r="U152" s="270"/>
      <c r="V152" s="270"/>
      <c r="W152" s="270"/>
      <c r="X152" s="270"/>
      <c r="Y152" s="270"/>
      <c r="Z152" s="270"/>
      <c r="AA152" s="270"/>
      <c r="AB152" s="270"/>
      <c r="AC152" s="270"/>
      <c r="AD152" s="270"/>
      <c r="AE152" s="270"/>
      <c r="AF152" s="270"/>
      <c r="AG152" s="270"/>
    </row>
    <row r="153" spans="2:33" ht="12.75">
      <c r="B153" s="1" t="s">
        <v>71</v>
      </c>
      <c r="E153" s="1">
        <f>E139</f>
        <v>38</v>
      </c>
      <c r="G153" s="1">
        <f>G139</f>
        <v>16</v>
      </c>
      <c r="H153" s="1">
        <f>H139</f>
        <v>54</v>
      </c>
      <c r="J153" s="263">
        <f>L139</f>
        <v>4</v>
      </c>
      <c r="K153" s="263">
        <f>O139</f>
        <v>10</v>
      </c>
      <c r="L153" s="263">
        <f>R139</f>
        <v>10</v>
      </c>
      <c r="M153" s="263">
        <f>U139</f>
        <v>11</v>
      </c>
      <c r="N153" s="263">
        <f>X139</f>
        <v>5</v>
      </c>
      <c r="O153" s="263">
        <f>AA139</f>
        <v>3</v>
      </c>
      <c r="P153" s="263">
        <f>AD139</f>
        <v>0</v>
      </c>
      <c r="Q153" s="263">
        <f>AG139</f>
        <v>0</v>
      </c>
      <c r="R153" s="263"/>
      <c r="S153" s="263"/>
      <c r="T153" s="263"/>
      <c r="U153" s="263"/>
      <c r="V153" s="263"/>
      <c r="W153" s="263"/>
      <c r="X153" s="263"/>
      <c r="Y153" s="263"/>
      <c r="Z153" s="263"/>
      <c r="AA153" s="263"/>
      <c r="AB153" s="263"/>
      <c r="AC153" s="263"/>
      <c r="AD153" s="263"/>
      <c r="AE153" s="263"/>
      <c r="AF153" s="263"/>
      <c r="AG153" s="263"/>
    </row>
    <row r="154" spans="10:33" ht="12.75">
      <c r="J154" s="265">
        <f>J142</f>
        <v>0.09302325581395349</v>
      </c>
      <c r="K154" s="265">
        <f>M142</f>
        <v>0.23255813953488372</v>
      </c>
      <c r="L154" s="265">
        <f>P142</f>
        <v>0.23255813953488372</v>
      </c>
      <c r="M154" s="265">
        <f>S142</f>
        <v>0.2558139534883721</v>
      </c>
      <c r="N154" s="265">
        <f>V142</f>
        <v>0.11627906976744186</v>
      </c>
      <c r="O154" s="265">
        <f>Y142</f>
        <v>0.06976744186046512</v>
      </c>
      <c r="P154" s="265">
        <f>AB142</f>
        <v>0</v>
      </c>
      <c r="Q154" s="265">
        <f>AE142</f>
        <v>0</v>
      </c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</sheetData>
  <mergeCells count="27">
    <mergeCell ref="AB142:AD142"/>
    <mergeCell ref="E141:G141"/>
    <mergeCell ref="J142:L142"/>
    <mergeCell ref="M142:O142"/>
    <mergeCell ref="P142:R142"/>
    <mergeCell ref="M2:O2"/>
    <mergeCell ref="J2:L2"/>
    <mergeCell ref="P2:R2"/>
    <mergeCell ref="S2:U2"/>
    <mergeCell ref="V2:X2"/>
    <mergeCell ref="Y2:AA2"/>
    <mergeCell ref="AB2:AD2"/>
    <mergeCell ref="AE2:AG2"/>
    <mergeCell ref="AE142:AG142"/>
    <mergeCell ref="AB141:AC141"/>
    <mergeCell ref="AE141:AF141"/>
    <mergeCell ref="P141:Q141"/>
    <mergeCell ref="S141:T141"/>
    <mergeCell ref="V141:W141"/>
    <mergeCell ref="Y141:Z141"/>
    <mergeCell ref="S142:U142"/>
    <mergeCell ref="V142:X142"/>
    <mergeCell ref="Y142:AA142"/>
    <mergeCell ref="D3:E3"/>
    <mergeCell ref="F3:G3"/>
    <mergeCell ref="J141:K141"/>
    <mergeCell ref="M141:N141"/>
  </mergeCells>
  <printOptions/>
  <pageMargins left="0" right="0" top="0" bottom="0" header="0" footer="0"/>
  <pageSetup fitToHeight="1" fitToWidth="1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RESET</dc:creator>
  <cp:keywords/>
  <dc:description/>
  <cp:lastModifiedBy>jean marc bauchot</cp:lastModifiedBy>
  <cp:lastPrinted>2008-06-27T21:26:23Z</cp:lastPrinted>
  <dcterms:created xsi:type="dcterms:W3CDTF">2008-05-24T13:12:30Z</dcterms:created>
  <dcterms:modified xsi:type="dcterms:W3CDTF">2008-07-01T06:57:03Z</dcterms:modified>
  <cp:category/>
  <cp:version/>
  <cp:contentType/>
  <cp:contentStatus/>
</cp:coreProperties>
</file>