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cham/Desktop/"/>
    </mc:Choice>
  </mc:AlternateContent>
  <xr:revisionPtr revIDLastSave="0" documentId="8_{3700A4A7-CDC7-5E48-8E06-8884E5245F93}" xr6:coauthVersionLast="47" xr6:coauthVersionMax="47" xr10:uidLastSave="{00000000-0000-0000-0000-000000000000}"/>
  <bookViews>
    <workbookView xWindow="0" yWindow="760" windowWidth="30240" windowHeight="18880" xr2:uid="{628FEF86-80E9-E049-A617-933554BAE8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B57" i="1"/>
  <c r="C53" i="1"/>
  <c r="D53" i="1"/>
  <c r="E53" i="1"/>
  <c r="F53" i="1"/>
  <c r="B53" i="1"/>
  <c r="B50" i="1"/>
  <c r="B42" i="1"/>
  <c r="F41" i="1"/>
  <c r="F57" i="1" s="1"/>
  <c r="E41" i="1"/>
  <c r="E57" i="1" s="1"/>
  <c r="D41" i="1"/>
  <c r="D57" i="1" s="1"/>
  <c r="C41" i="1"/>
  <c r="B41" i="1"/>
  <c r="B39" i="1"/>
  <c r="C38" i="1"/>
  <c r="C39" i="1" s="1"/>
  <c r="D38" i="1"/>
  <c r="D39" i="1" s="1"/>
  <c r="E38" i="1"/>
  <c r="E39" i="1" s="1"/>
  <c r="F38" i="1"/>
  <c r="F40" i="1" s="1"/>
  <c r="F42" i="1" s="1"/>
  <c r="B38" i="1"/>
  <c r="B40" i="1" s="1"/>
  <c r="I28" i="1"/>
  <c r="I27" i="1"/>
  <c r="I26" i="1"/>
  <c r="I25" i="1"/>
  <c r="G25" i="1"/>
  <c r="G26" i="1"/>
  <c r="G27" i="1"/>
  <c r="G28" i="1"/>
  <c r="G24" i="1"/>
  <c r="E25" i="1"/>
  <c r="E26" i="1"/>
  <c r="E27" i="1"/>
  <c r="E28" i="1"/>
  <c r="E24" i="1"/>
  <c r="E17" i="1"/>
  <c r="F24" i="1" s="1"/>
  <c r="H11" i="1"/>
  <c r="F10" i="1"/>
  <c r="F9" i="1"/>
  <c r="F8" i="1"/>
  <c r="F7" i="1"/>
  <c r="F6" i="1"/>
  <c r="E8" i="1"/>
  <c r="E9" i="1"/>
  <c r="D7" i="1"/>
  <c r="E7" i="1" s="1"/>
  <c r="D8" i="1"/>
  <c r="D9" i="1"/>
  <c r="D10" i="1"/>
  <c r="E10" i="1" s="1"/>
  <c r="D6" i="1"/>
  <c r="E6" i="1" s="1"/>
  <c r="A30" i="1"/>
  <c r="J12" i="1"/>
  <c r="C40" i="1" l="1"/>
  <c r="C42" i="1" s="1"/>
  <c r="B51" i="1"/>
  <c r="B52" i="1" s="1"/>
  <c r="B54" i="1" s="1"/>
  <c r="G7" i="1"/>
  <c r="E40" i="1"/>
  <c r="E42" i="1" s="1"/>
  <c r="G9" i="1"/>
  <c r="D40" i="1"/>
  <c r="D42" i="1" s="1"/>
  <c r="G10" i="1"/>
  <c r="F39" i="1"/>
  <c r="H24" i="1"/>
  <c r="J24" i="1"/>
  <c r="F17" i="1"/>
  <c r="G8" i="1"/>
  <c r="G6" i="1"/>
  <c r="C18" i="1" l="1"/>
  <c r="E18" i="1" s="1"/>
  <c r="C49" i="1" s="1"/>
  <c r="C50" i="1" s="1"/>
  <c r="B55" i="1"/>
  <c r="B56" i="1" s="1"/>
  <c r="B58" i="1" s="1"/>
  <c r="G11" i="1"/>
  <c r="B43" i="1"/>
  <c r="C51" i="1" l="1"/>
  <c r="C52" i="1"/>
  <c r="C54" i="1" s="1"/>
  <c r="F25" i="1"/>
  <c r="H25" i="1" s="1"/>
  <c r="J25" i="1" s="1"/>
  <c r="F18" i="1"/>
  <c r="C19" i="1" l="1"/>
  <c r="C55" i="1"/>
  <c r="C56" i="1"/>
  <c r="C58" i="1" s="1"/>
  <c r="E19" i="1"/>
  <c r="D49" i="1" s="1"/>
  <c r="D50" i="1" s="1"/>
  <c r="D51" i="1" l="1"/>
  <c r="D52" i="1" s="1"/>
  <c r="D54" i="1" s="1"/>
  <c r="F19" i="1"/>
  <c r="F26" i="1"/>
  <c r="H26" i="1" s="1"/>
  <c r="J26" i="1" s="1"/>
  <c r="C20" i="1" l="1"/>
  <c r="D55" i="1"/>
  <c r="D56" i="1" s="1"/>
  <c r="D58" i="1" s="1"/>
  <c r="E20" i="1"/>
  <c r="E49" i="1" s="1"/>
  <c r="E50" i="1" s="1"/>
  <c r="E51" i="1" l="1"/>
  <c r="E52" i="1"/>
  <c r="E54" i="1" s="1"/>
  <c r="F27" i="1"/>
  <c r="H27" i="1" s="1"/>
  <c r="J27" i="1" s="1"/>
  <c r="F20" i="1"/>
  <c r="C21" i="1" l="1"/>
  <c r="E21" i="1" s="1"/>
  <c r="F49" i="1" s="1"/>
  <c r="F50" i="1" s="1"/>
  <c r="E55" i="1"/>
  <c r="E56" i="1"/>
  <c r="E58" i="1" s="1"/>
  <c r="F21" i="1"/>
  <c r="F55" i="1" s="1"/>
  <c r="F28" i="1"/>
  <c r="H28" i="1" s="1"/>
  <c r="J28" i="1" s="1"/>
  <c r="J29" i="1" s="1"/>
  <c r="F51" i="1" l="1"/>
  <c r="F52" i="1" s="1"/>
  <c r="F54" i="1" s="1"/>
  <c r="F56" i="1" s="1"/>
  <c r="F58" i="1" s="1"/>
  <c r="G58" i="1" s="1"/>
  <c r="B60" i="1" s="1"/>
</calcChain>
</file>

<file path=xl/sharedStrings.xml><?xml version="1.0" encoding="utf-8"?>
<sst xmlns="http://schemas.openxmlformats.org/spreadsheetml/2006/main" count="99" uniqueCount="60">
  <si>
    <r>
      <t xml:space="preserve">CAS </t>
    </r>
    <r>
      <rPr>
        <b/>
        <i/>
        <sz val="16"/>
        <color rgb="FF00B0F0"/>
        <rFont val="Calibri"/>
        <family val="2"/>
        <scheme val="minor"/>
      </rPr>
      <t>Fina.sa</t>
    </r>
    <r>
      <rPr>
        <b/>
        <sz val="16"/>
        <color rgb="FF00B0F0"/>
        <rFont val="Calibri"/>
        <family val="2"/>
        <scheme val="minor"/>
      </rPr>
      <t>.</t>
    </r>
  </si>
  <si>
    <t>MÉTHODE DES DNA</t>
  </si>
  <si>
    <t>1ère Proposition : LLD</t>
  </si>
  <si>
    <t>ANNÉE</t>
  </si>
  <si>
    <t>ÉCO IS/LOYERS</t>
  </si>
  <si>
    <t>DNETS</t>
  </si>
  <si>
    <t>LOYERS (DB)</t>
  </si>
  <si>
    <t>(1+k)^-t</t>
  </si>
  <si>
    <t>DNA</t>
  </si>
  <si>
    <t>N+1</t>
  </si>
  <si>
    <t>N+2</t>
  </si>
  <si>
    <t>N+3</t>
  </si>
  <si>
    <t>N+4</t>
  </si>
  <si>
    <t>N+5</t>
  </si>
  <si>
    <t>TOTAL DNA</t>
  </si>
  <si>
    <t>2ème Proposition : ATF &amp; EMPRUNT</t>
  </si>
  <si>
    <t>ATF</t>
  </si>
  <si>
    <t>EMPRUNT</t>
  </si>
  <si>
    <t>DURÉE</t>
  </si>
  <si>
    <t>5 ANS</t>
  </si>
  <si>
    <t>LOYERS /AN</t>
  </si>
  <si>
    <t>TAUX</t>
  </si>
  <si>
    <t>ANNUITÉ CONSTANTE</t>
  </si>
  <si>
    <t>CALCULS PRÉALABLES : TAB D'AMORT DE L'EMPRUNT</t>
  </si>
  <si>
    <t>CRD</t>
  </si>
  <si>
    <t>ANNUITÉ</t>
  </si>
  <si>
    <t>AMORT EMP</t>
  </si>
  <si>
    <t>TABLEAU DES DNA</t>
  </si>
  <si>
    <t>ÉCO IS SUR</t>
  </si>
  <si>
    <t>INTÉRÊTS</t>
  </si>
  <si>
    <t>DOTATIONS*</t>
  </si>
  <si>
    <t>*DOTATIONS AUX AMORT =520000/5</t>
  </si>
  <si>
    <t>DB</t>
  </si>
  <si>
    <t>MÉTHODE DE LA VANA</t>
  </si>
  <si>
    <t>Années</t>
  </si>
  <si>
    <t>MARGE/COUT VARIABLE</t>
  </si>
  <si>
    <t xml:space="preserve">Loyers </t>
  </si>
  <si>
    <t>IS (30%)</t>
  </si>
  <si>
    <t>CF après FF &amp; IS Actualisés</t>
  </si>
  <si>
    <t xml:space="preserve">     (1+k)^-t</t>
  </si>
  <si>
    <t>k</t>
  </si>
  <si>
    <t>VANA</t>
  </si>
  <si>
    <t>DOTATIONS AUX AMORT</t>
  </si>
  <si>
    <t xml:space="preserve">CF après FF &amp; IS </t>
  </si>
  <si>
    <t>CF NETS DISPONIBLES (CFD)</t>
  </si>
  <si>
    <t>CFD Actualisés</t>
  </si>
  <si>
    <t>TIS</t>
  </si>
  <si>
    <t>*</t>
  </si>
  <si>
    <t>178000=120000*1,1^0 + (108200-13200-31200)*1,1^-1</t>
  </si>
  <si>
    <t>CONCLUSION : ON A SOMME DNA (ATF+EMPRUNT) &lt; SOMME DNA LLD , DONC LE FINANCEMENT PAR ATF ET EMPRUNT EST MOINS COÛTEUX QUE LA LLD</t>
  </si>
  <si>
    <t>Résultat Après FF, avant IS</t>
  </si>
  <si>
    <t>VANA (LLD)</t>
  </si>
  <si>
    <t xml:space="preserve">Résultat APRÈS FF ET IS </t>
  </si>
  <si>
    <t>AMORTISSEMENT EMPRUNT*</t>
  </si>
  <si>
    <t>INTÉRÊTS*</t>
  </si>
  <si>
    <t>*VOIR TAB D'AMORTISSEMENT DE L'EMPRUNT</t>
  </si>
  <si>
    <t>DI = MONTANT ATF</t>
  </si>
  <si>
    <t>CONCLUSION, SELON LE CRITÈRE DE LA VANA, LE FINANCEMENT PAR ATF ET EMPRUNT EST LARGEMENT PLUS INTÉRESSANT QUE LA LLD</t>
  </si>
  <si>
    <t>Résultat AP FF ET IS = CF après FF &amp; IS</t>
  </si>
  <si>
    <t>SACHANT QUE EN CAS DE LOCATION, DI 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</si>
</sst>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i/>
      <sz val="16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rgb="FFFF0000"/>
      <name val="Calibri (Corps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1" xfId="0" applyNumberForma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9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2" fontId="0" fillId="0" borderId="1" xfId="0" applyNumberFormat="1" applyBorder="1"/>
    <xf numFmtId="1" fontId="0" fillId="2" borderId="1" xfId="0" applyNumberFormat="1" applyFill="1" applyBorder="1"/>
    <xf numFmtId="0" fontId="1" fillId="3" borderId="2" xfId="0" applyFont="1" applyFill="1" applyBorder="1" applyAlignment="1">
      <alignment horizontal="center"/>
    </xf>
    <xf numFmtId="1" fontId="0" fillId="3" borderId="1" xfId="0" applyNumberFormat="1" applyFill="1" applyBorder="1"/>
    <xf numFmtId="0" fontId="0" fillId="3" borderId="1" xfId="0" applyFill="1" applyBorder="1"/>
    <xf numFmtId="2" fontId="0" fillId="0" borderId="1" xfId="0" applyNumberFormat="1" applyBorder="1" applyAlignment="1">
      <alignment horizontal="center"/>
    </xf>
    <xf numFmtId="0" fontId="6" fillId="2" borderId="1" xfId="0" applyFont="1" applyFill="1" applyBorder="1"/>
    <xf numFmtId="0" fontId="8" fillId="0" borderId="0" xfId="0" applyFont="1" applyAlignment="1">
      <alignment horizontal="center"/>
    </xf>
    <xf numFmtId="0" fontId="1" fillId="0" borderId="0" xfId="0" applyFont="1"/>
    <xf numFmtId="0" fontId="11" fillId="2" borderId="5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/>
    <xf numFmtId="0" fontId="10" fillId="2" borderId="11" xfId="0" applyFont="1" applyFill="1" applyBorder="1" applyAlignment="1">
      <alignment vertical="center" wrapText="1"/>
    </xf>
    <xf numFmtId="2" fontId="10" fillId="2" borderId="1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9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2" fillId="2" borderId="1" xfId="0" applyNumberFormat="1" applyFont="1" applyFill="1" applyBorder="1"/>
    <xf numFmtId="2" fontId="1" fillId="2" borderId="0" xfId="0" applyNumberFormat="1" applyFont="1" applyFill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60A1-833C-4548-964B-369386C02C97}">
  <dimension ref="A1:J62"/>
  <sheetViews>
    <sheetView tabSelected="1" topLeftCell="A19" zoomScale="210" zoomScaleNormal="210" workbookViewId="0">
      <selection activeCell="A60" sqref="A60"/>
    </sheetView>
  </sheetViews>
  <sheetFormatPr baseColWidth="10" defaultRowHeight="16" x14ac:dyDescent="0.2"/>
  <cols>
    <col min="1" max="1" width="31.1640625" bestFit="1" customWidth="1"/>
    <col min="2" max="3" width="11.83203125" bestFit="1" customWidth="1"/>
    <col min="4" max="4" width="13.33203125" bestFit="1" customWidth="1"/>
    <col min="5" max="6" width="11.83203125" bestFit="1" customWidth="1"/>
  </cols>
  <sheetData>
    <row r="1" spans="1:10" ht="21" x14ac:dyDescent="0.25">
      <c r="A1" s="1" t="s">
        <v>0</v>
      </c>
    </row>
    <row r="2" spans="1:10" ht="19" x14ac:dyDescent="0.25">
      <c r="A2" s="3" t="s">
        <v>1</v>
      </c>
      <c r="B2" s="4" t="s">
        <v>46</v>
      </c>
      <c r="C2" s="10">
        <v>0.3</v>
      </c>
      <c r="D2" s="4" t="s">
        <v>40</v>
      </c>
      <c r="E2" s="10">
        <v>0.1</v>
      </c>
    </row>
    <row r="3" spans="1:10" x14ac:dyDescent="0.2">
      <c r="A3" s="2" t="s">
        <v>2</v>
      </c>
      <c r="B3" t="s">
        <v>18</v>
      </c>
      <c r="C3" t="s">
        <v>19</v>
      </c>
      <c r="D3" t="s">
        <v>20</v>
      </c>
      <c r="E3">
        <v>164000</v>
      </c>
      <c r="F3" s="4" t="s">
        <v>40</v>
      </c>
      <c r="G3" s="4"/>
    </row>
    <row r="4" spans="1:10" x14ac:dyDescent="0.2">
      <c r="A4" s="2"/>
    </row>
    <row r="5" spans="1:10" x14ac:dyDescent="0.2">
      <c r="A5" s="2" t="s">
        <v>27</v>
      </c>
      <c r="B5" s="5" t="s">
        <v>3</v>
      </c>
      <c r="C5" s="5" t="s">
        <v>6</v>
      </c>
      <c r="D5" s="5" t="s">
        <v>4</v>
      </c>
      <c r="E5" s="5" t="s">
        <v>5</v>
      </c>
      <c r="F5" s="5" t="s">
        <v>7</v>
      </c>
      <c r="G5" s="5" t="s">
        <v>8</v>
      </c>
    </row>
    <row r="6" spans="1:10" x14ac:dyDescent="0.2">
      <c r="B6" s="6" t="s">
        <v>9</v>
      </c>
      <c r="C6" s="7">
        <v>164000</v>
      </c>
      <c r="D6" s="7">
        <f>C6*30%</f>
        <v>49200</v>
      </c>
      <c r="E6" s="7">
        <f>C6-D6</f>
        <v>114800</v>
      </c>
      <c r="F6" s="7">
        <f>1.1^0</f>
        <v>1</v>
      </c>
      <c r="G6" s="7">
        <f>E6*F6</f>
        <v>114800</v>
      </c>
    </row>
    <row r="7" spans="1:10" x14ac:dyDescent="0.2">
      <c r="B7" s="6" t="s">
        <v>10</v>
      </c>
      <c r="C7" s="7">
        <v>164000</v>
      </c>
      <c r="D7" s="7">
        <f t="shared" ref="D7:D10" si="0">C7*30%</f>
        <v>49200</v>
      </c>
      <c r="E7" s="7">
        <f t="shared" ref="E7:E10" si="1">C7-D7</f>
        <v>114800</v>
      </c>
      <c r="F7" s="24">
        <f>1.1^-1</f>
        <v>0.90909090909090906</v>
      </c>
      <c r="G7" s="7">
        <f t="shared" ref="G7:G10" si="2">E7*F7</f>
        <v>104363.63636363635</v>
      </c>
    </row>
    <row r="8" spans="1:10" x14ac:dyDescent="0.2">
      <c r="B8" s="6" t="s">
        <v>11</v>
      </c>
      <c r="C8" s="7">
        <v>164000</v>
      </c>
      <c r="D8" s="7">
        <f t="shared" si="0"/>
        <v>49200</v>
      </c>
      <c r="E8" s="7">
        <f t="shared" si="1"/>
        <v>114800</v>
      </c>
      <c r="F8" s="24">
        <f>1.1^-2</f>
        <v>0.82644628099173545</v>
      </c>
      <c r="G8" s="25">
        <f t="shared" si="2"/>
        <v>94876.033057851237</v>
      </c>
    </row>
    <row r="9" spans="1:10" x14ac:dyDescent="0.2">
      <c r="B9" s="6" t="s">
        <v>12</v>
      </c>
      <c r="C9" s="7">
        <v>164000</v>
      </c>
      <c r="D9" s="7">
        <f t="shared" si="0"/>
        <v>49200</v>
      </c>
      <c r="E9" s="7">
        <f t="shared" si="1"/>
        <v>114800</v>
      </c>
      <c r="F9" s="24">
        <f>1.1^-3</f>
        <v>0.75131480090157754</v>
      </c>
      <c r="G9" s="25">
        <f t="shared" si="2"/>
        <v>86250.939143501106</v>
      </c>
    </row>
    <row r="10" spans="1:10" x14ac:dyDescent="0.2">
      <c r="B10" s="6" t="s">
        <v>13</v>
      </c>
      <c r="C10" s="7">
        <v>164000</v>
      </c>
      <c r="D10" s="7">
        <f t="shared" si="0"/>
        <v>49200</v>
      </c>
      <c r="E10" s="7">
        <f t="shared" si="1"/>
        <v>114800</v>
      </c>
      <c r="F10" s="24">
        <f>1.1^-4</f>
        <v>0.68301345536507052</v>
      </c>
      <c r="G10" s="25">
        <f t="shared" si="2"/>
        <v>78409.944675910097</v>
      </c>
    </row>
    <row r="11" spans="1:10" x14ac:dyDescent="0.2">
      <c r="B11" s="64" t="s">
        <v>14</v>
      </c>
      <c r="C11" s="64"/>
      <c r="D11" s="64"/>
      <c r="E11" s="64"/>
      <c r="F11" s="64"/>
      <c r="G11" s="9">
        <f>SUM(G6:G10)</f>
        <v>478700.55324089882</v>
      </c>
      <c r="H11">
        <f>C6*5</f>
        <v>820000</v>
      </c>
    </row>
    <row r="12" spans="1:10" x14ac:dyDescent="0.2">
      <c r="J12">
        <f>E13*G13/(1-1.11^-5)</f>
        <v>108228.12380589375</v>
      </c>
    </row>
    <row r="13" spans="1:10" x14ac:dyDescent="0.2">
      <c r="A13" s="2" t="s">
        <v>15</v>
      </c>
      <c r="B13" s="4" t="s">
        <v>16</v>
      </c>
      <c r="C13" s="4">
        <v>120000</v>
      </c>
      <c r="D13" s="4" t="s">
        <v>17</v>
      </c>
      <c r="E13" s="4">
        <v>400000</v>
      </c>
      <c r="F13" s="4" t="s">
        <v>21</v>
      </c>
      <c r="G13" s="10">
        <v>0.11</v>
      </c>
      <c r="H13" t="s">
        <v>22</v>
      </c>
      <c r="J13">
        <v>108200</v>
      </c>
    </row>
    <row r="15" spans="1:10" x14ac:dyDescent="0.2">
      <c r="A15" t="s">
        <v>23</v>
      </c>
    </row>
    <row r="16" spans="1:10" x14ac:dyDescent="0.2">
      <c r="B16" s="5" t="s">
        <v>3</v>
      </c>
      <c r="C16" s="5" t="s">
        <v>24</v>
      </c>
      <c r="D16" s="5" t="s">
        <v>25</v>
      </c>
      <c r="E16" s="5" t="s">
        <v>29</v>
      </c>
      <c r="F16" s="5" t="s">
        <v>26</v>
      </c>
    </row>
    <row r="17" spans="1:10" x14ac:dyDescent="0.2">
      <c r="B17" s="6" t="s">
        <v>9</v>
      </c>
      <c r="C17" s="7">
        <v>400000</v>
      </c>
      <c r="D17" s="7">
        <v>108200</v>
      </c>
      <c r="E17" s="7">
        <f>C17*11%</f>
        <v>44000</v>
      </c>
      <c r="F17" s="7">
        <f>D17-E17</f>
        <v>64200</v>
      </c>
    </row>
    <row r="18" spans="1:10" x14ac:dyDescent="0.2">
      <c r="B18" s="6" t="s">
        <v>10</v>
      </c>
      <c r="C18" s="7">
        <f>C17-F17</f>
        <v>335800</v>
      </c>
      <c r="D18" s="7">
        <v>108200</v>
      </c>
      <c r="E18" s="11">
        <f>C18*11%</f>
        <v>36938</v>
      </c>
      <c r="F18" s="7">
        <f>D18-E18</f>
        <v>71262</v>
      </c>
    </row>
    <row r="19" spans="1:10" x14ac:dyDescent="0.2">
      <c r="B19" s="6" t="s">
        <v>11</v>
      </c>
      <c r="C19" s="7">
        <f>C18-F18</f>
        <v>264538</v>
      </c>
      <c r="D19" s="7">
        <v>108200</v>
      </c>
      <c r="E19" s="11">
        <f>C19*11%</f>
        <v>29099.18</v>
      </c>
      <c r="F19" s="11">
        <f>D19-E19</f>
        <v>79100.820000000007</v>
      </c>
    </row>
    <row r="20" spans="1:10" x14ac:dyDescent="0.2">
      <c r="B20" s="6" t="s">
        <v>12</v>
      </c>
      <c r="C20" s="11">
        <f t="shared" ref="C20:C21" si="3">C19-F19</f>
        <v>185437.18</v>
      </c>
      <c r="D20" s="7">
        <v>108200</v>
      </c>
      <c r="E20" s="11">
        <f t="shared" ref="E20:E21" si="4">C20*11%</f>
        <v>20398.089799999998</v>
      </c>
      <c r="F20" s="11">
        <f t="shared" ref="F20:F21" si="5">D20-E20</f>
        <v>87801.910199999998</v>
      </c>
    </row>
    <row r="21" spans="1:10" x14ac:dyDescent="0.2">
      <c r="B21" s="6" t="s">
        <v>13</v>
      </c>
      <c r="C21" s="11">
        <f t="shared" si="3"/>
        <v>97635.269799999995</v>
      </c>
      <c r="D21" s="7">
        <v>108200</v>
      </c>
      <c r="E21" s="11">
        <f t="shared" si="4"/>
        <v>10739.879677999999</v>
      </c>
      <c r="F21" s="11">
        <f t="shared" si="5"/>
        <v>97460.120322000002</v>
      </c>
    </row>
    <row r="22" spans="1:10" x14ac:dyDescent="0.2">
      <c r="F22" s="65" t="s">
        <v>28</v>
      </c>
      <c r="G22" s="65"/>
    </row>
    <row r="23" spans="1:10" x14ac:dyDescent="0.2">
      <c r="A23" s="2" t="s">
        <v>27</v>
      </c>
      <c r="B23" s="12" t="s">
        <v>3</v>
      </c>
      <c r="C23" s="5" t="s">
        <v>16</v>
      </c>
      <c r="D23" s="5" t="s">
        <v>25</v>
      </c>
      <c r="E23" s="8" t="s">
        <v>32</v>
      </c>
      <c r="F23" s="27" t="s">
        <v>29</v>
      </c>
      <c r="G23" s="27" t="s">
        <v>30</v>
      </c>
      <c r="H23" s="8" t="s">
        <v>5</v>
      </c>
      <c r="I23" s="5" t="s">
        <v>7</v>
      </c>
      <c r="J23" s="5" t="s">
        <v>8</v>
      </c>
    </row>
    <row r="24" spans="1:10" x14ac:dyDescent="0.2">
      <c r="B24" s="13" t="s">
        <v>9</v>
      </c>
      <c r="C24" s="7">
        <v>120000</v>
      </c>
      <c r="D24" s="7">
        <v>108200</v>
      </c>
      <c r="E24" s="15">
        <f>C24+D24</f>
        <v>228200</v>
      </c>
      <c r="F24" s="28">
        <f>E17*30%</f>
        <v>13200</v>
      </c>
      <c r="G24" s="29">
        <f>104000*30%</f>
        <v>31200</v>
      </c>
      <c r="H24" s="26">
        <f>E24-F24-G24</f>
        <v>183800</v>
      </c>
      <c r="I24" s="7" t="s">
        <v>47</v>
      </c>
      <c r="J24" s="6">
        <f>120000*1.1^0+(D24-F24-G24)*1.1^-1</f>
        <v>178000</v>
      </c>
    </row>
    <row r="25" spans="1:10" x14ac:dyDescent="0.2">
      <c r="B25" s="13" t="s">
        <v>10</v>
      </c>
      <c r="C25" s="7"/>
      <c r="D25" s="7">
        <v>108200</v>
      </c>
      <c r="E25" s="15">
        <f t="shared" ref="E25:E28" si="6">C25+D25</f>
        <v>108200</v>
      </c>
      <c r="F25" s="28">
        <f t="shared" ref="F25:F28" si="7">E18*30%</f>
        <v>11081.4</v>
      </c>
      <c r="G25" s="29">
        <f t="shared" ref="G25:G28" si="8">104000*30%</f>
        <v>31200</v>
      </c>
      <c r="H25" s="26">
        <f t="shared" ref="H25:H28" si="9">E25-F25-G25</f>
        <v>65918.600000000006</v>
      </c>
      <c r="I25" s="24">
        <f>1.1^-2</f>
        <v>0.82644628099173545</v>
      </c>
      <c r="J25" s="30">
        <f t="shared" ref="J25:J28" si="10">H25*I25</f>
        <v>54478.181818181816</v>
      </c>
    </row>
    <row r="26" spans="1:10" x14ac:dyDescent="0.2">
      <c r="B26" s="13" t="s">
        <v>11</v>
      </c>
      <c r="C26" s="7"/>
      <c r="D26" s="7">
        <v>108200</v>
      </c>
      <c r="E26" s="15">
        <f t="shared" si="6"/>
        <v>108200</v>
      </c>
      <c r="F26" s="28">
        <f t="shared" si="7"/>
        <v>8729.753999999999</v>
      </c>
      <c r="G26" s="29">
        <f t="shared" si="8"/>
        <v>31200</v>
      </c>
      <c r="H26" s="26">
        <f t="shared" si="9"/>
        <v>68270.245999999999</v>
      </c>
      <c r="I26" s="24">
        <f>1.1^-3</f>
        <v>0.75131480090157754</v>
      </c>
      <c r="J26" s="30">
        <f t="shared" si="10"/>
        <v>51292.446280991717</v>
      </c>
    </row>
    <row r="27" spans="1:10" x14ac:dyDescent="0.2">
      <c r="B27" s="13" t="s">
        <v>12</v>
      </c>
      <c r="C27" s="7"/>
      <c r="D27" s="7">
        <v>108200</v>
      </c>
      <c r="E27" s="15">
        <f t="shared" si="6"/>
        <v>108200</v>
      </c>
      <c r="F27" s="28">
        <f t="shared" si="7"/>
        <v>6119.4269399999994</v>
      </c>
      <c r="G27" s="29">
        <f t="shared" si="8"/>
        <v>31200</v>
      </c>
      <c r="H27" s="26">
        <f t="shared" si="9"/>
        <v>70880.573059999995</v>
      </c>
      <c r="I27" s="24">
        <f>1.1^-4</f>
        <v>0.68301345536507052</v>
      </c>
      <c r="J27" s="30">
        <f t="shared" si="10"/>
        <v>48412.385123966924</v>
      </c>
    </row>
    <row r="28" spans="1:10" ht="17" thickBot="1" x14ac:dyDescent="0.25">
      <c r="B28" s="13" t="s">
        <v>13</v>
      </c>
      <c r="C28" s="7"/>
      <c r="D28" s="7">
        <v>108200</v>
      </c>
      <c r="E28" s="15">
        <f t="shared" si="6"/>
        <v>108200</v>
      </c>
      <c r="F28" s="28">
        <f t="shared" si="7"/>
        <v>3221.9639033999997</v>
      </c>
      <c r="G28" s="29">
        <f t="shared" si="8"/>
        <v>31200</v>
      </c>
      <c r="H28" s="26">
        <f t="shared" si="9"/>
        <v>73778.036096600001</v>
      </c>
      <c r="I28" s="24">
        <f>1.1^-5</f>
        <v>0.62092132305915493</v>
      </c>
      <c r="J28" s="30">
        <f t="shared" si="10"/>
        <v>45810.355785806962</v>
      </c>
    </row>
    <row r="29" spans="1:10" x14ac:dyDescent="0.2">
      <c r="A29" s="14" t="s">
        <v>31</v>
      </c>
      <c r="G29" s="66" t="s">
        <v>14</v>
      </c>
      <c r="H29" s="67"/>
      <c r="I29" s="68"/>
      <c r="J29" s="31">
        <f>SUM(J24:J28)</f>
        <v>377993.3690089474</v>
      </c>
    </row>
    <row r="30" spans="1:10" ht="17" thickBot="1" x14ac:dyDescent="0.25">
      <c r="A30" s="55">
        <f>520000/5</f>
        <v>104000</v>
      </c>
      <c r="C30" t="s">
        <v>48</v>
      </c>
    </row>
    <row r="31" spans="1:10" x14ac:dyDescent="0.2">
      <c r="A31" s="33"/>
      <c r="B31" s="32" t="s">
        <v>49</v>
      </c>
    </row>
    <row r="32" spans="1:10" x14ac:dyDescent="0.2">
      <c r="A32" s="33"/>
      <c r="B32" s="32"/>
    </row>
    <row r="33" spans="1:6" ht="19" x14ac:dyDescent="0.25">
      <c r="A33" s="3" t="s">
        <v>33</v>
      </c>
    </row>
    <row r="34" spans="1:6" ht="17" thickBot="1" x14ac:dyDescent="0.25">
      <c r="A34" s="2" t="s">
        <v>2</v>
      </c>
    </row>
    <row r="35" spans="1:6" ht="18" thickBot="1" x14ac:dyDescent="0.25">
      <c r="A35" s="16" t="s">
        <v>34</v>
      </c>
      <c r="B35" s="51" t="s">
        <v>9</v>
      </c>
      <c r="C35" s="52" t="s">
        <v>10</v>
      </c>
      <c r="D35" s="52" t="s">
        <v>11</v>
      </c>
      <c r="E35" s="52" t="s">
        <v>12</v>
      </c>
      <c r="F35" s="52" t="s">
        <v>13</v>
      </c>
    </row>
    <row r="36" spans="1:6" ht="18" thickBot="1" x14ac:dyDescent="0.25">
      <c r="A36" s="17" t="s">
        <v>35</v>
      </c>
      <c r="B36" s="18">
        <v>180000</v>
      </c>
      <c r="C36" s="18">
        <v>234000</v>
      </c>
      <c r="D36" s="18">
        <v>256000</v>
      </c>
      <c r="E36" s="18">
        <v>264000</v>
      </c>
      <c r="F36" s="18">
        <v>240000</v>
      </c>
    </row>
    <row r="37" spans="1:6" ht="18" thickBot="1" x14ac:dyDescent="0.25">
      <c r="A37" s="17" t="s">
        <v>36</v>
      </c>
      <c r="B37" s="18">
        <v>164000</v>
      </c>
      <c r="C37" s="18">
        <v>164000</v>
      </c>
      <c r="D37" s="18">
        <v>164000</v>
      </c>
      <c r="E37" s="18">
        <v>164000</v>
      </c>
      <c r="F37" s="18">
        <v>164000</v>
      </c>
    </row>
    <row r="38" spans="1:6" ht="18" thickBot="1" x14ac:dyDescent="0.25">
      <c r="A38" s="39" t="s">
        <v>50</v>
      </c>
      <c r="B38" s="40">
        <f>B36-B37</f>
        <v>16000</v>
      </c>
      <c r="C38" s="40">
        <f t="shared" ref="C38:F38" si="11">C36-C37</f>
        <v>70000</v>
      </c>
      <c r="D38" s="40">
        <f t="shared" si="11"/>
        <v>92000</v>
      </c>
      <c r="E38" s="40">
        <f t="shared" si="11"/>
        <v>100000</v>
      </c>
      <c r="F38" s="40">
        <f t="shared" si="11"/>
        <v>76000</v>
      </c>
    </row>
    <row r="39" spans="1:6" ht="18" thickBot="1" x14ac:dyDescent="0.25">
      <c r="A39" s="17" t="s">
        <v>37</v>
      </c>
      <c r="B39" s="18">
        <f>B38*30%</f>
        <v>4800</v>
      </c>
      <c r="C39" s="18">
        <f t="shared" ref="C39:F39" si="12">C38*30%</f>
        <v>21000</v>
      </c>
      <c r="D39" s="18">
        <f t="shared" si="12"/>
        <v>27600</v>
      </c>
      <c r="E39" s="18">
        <f t="shared" si="12"/>
        <v>30000</v>
      </c>
      <c r="F39" s="18">
        <f t="shared" si="12"/>
        <v>22800</v>
      </c>
    </row>
    <row r="40" spans="1:6" ht="35" thickBot="1" x14ac:dyDescent="0.25">
      <c r="A40" s="34" t="s">
        <v>58</v>
      </c>
      <c r="B40" s="35">
        <f>B38*70%</f>
        <v>11200</v>
      </c>
      <c r="C40" s="35">
        <f t="shared" ref="C40:F40" si="13">C38*70%</f>
        <v>49000</v>
      </c>
      <c r="D40" s="35">
        <f t="shared" si="13"/>
        <v>64399.999999999993</v>
      </c>
      <c r="E40" s="35">
        <f t="shared" si="13"/>
        <v>70000</v>
      </c>
      <c r="F40" s="35">
        <f t="shared" si="13"/>
        <v>53200</v>
      </c>
    </row>
    <row r="41" spans="1:6" ht="18" thickBot="1" x14ac:dyDescent="0.25">
      <c r="A41" s="19" t="s">
        <v>39</v>
      </c>
      <c r="B41" s="36">
        <f>1.1^-1</f>
        <v>0.90909090909090906</v>
      </c>
      <c r="C41" s="36">
        <f>1.1^-2</f>
        <v>0.82644628099173545</v>
      </c>
      <c r="D41" s="36">
        <f>1.1^-3</f>
        <v>0.75131480090157754</v>
      </c>
      <c r="E41" s="36">
        <f>1.1^-4</f>
        <v>0.68301345536507052</v>
      </c>
      <c r="F41" s="36">
        <f>1.1^-5</f>
        <v>0.62092132305915493</v>
      </c>
    </row>
    <row r="42" spans="1:6" ht="17" x14ac:dyDescent="0.2">
      <c r="A42" s="48" t="s">
        <v>38</v>
      </c>
      <c r="B42" s="49">
        <f>B40*B41</f>
        <v>10181.818181818182</v>
      </c>
      <c r="C42" s="49">
        <f t="shared" ref="C42:F42" si="14">C40*C41</f>
        <v>40495.867768595039</v>
      </c>
      <c r="D42" s="49">
        <f t="shared" si="14"/>
        <v>48384.673178061588</v>
      </c>
      <c r="E42" s="49">
        <f t="shared" si="14"/>
        <v>47810.941875554934</v>
      </c>
      <c r="F42" s="49">
        <f t="shared" si="14"/>
        <v>33033.01438674704</v>
      </c>
    </row>
    <row r="43" spans="1:6" ht="17" x14ac:dyDescent="0.2">
      <c r="A43" s="37" t="s">
        <v>51</v>
      </c>
      <c r="B43" s="38">
        <f>SUM(B42:F42)</f>
        <v>179906.31539077678</v>
      </c>
    </row>
    <row r="44" spans="1:6" ht="34" x14ac:dyDescent="0.2">
      <c r="A44" s="53" t="s">
        <v>59</v>
      </c>
      <c r="B44" s="54"/>
    </row>
    <row r="45" spans="1:6" x14ac:dyDescent="0.2">
      <c r="A45" s="2" t="s">
        <v>15</v>
      </c>
    </row>
    <row r="46" spans="1:6" ht="17" x14ac:dyDescent="0.2">
      <c r="A46" s="22" t="s">
        <v>34</v>
      </c>
      <c r="B46" s="60" t="s">
        <v>9</v>
      </c>
      <c r="C46" s="61" t="s">
        <v>10</v>
      </c>
      <c r="D46" s="61" t="s">
        <v>11</v>
      </c>
      <c r="E46" s="61" t="s">
        <v>12</v>
      </c>
      <c r="F46" s="61" t="s">
        <v>13</v>
      </c>
    </row>
    <row r="47" spans="1:6" ht="17" x14ac:dyDescent="0.2">
      <c r="A47" s="20" t="s">
        <v>35</v>
      </c>
      <c r="B47" s="23">
        <v>180000</v>
      </c>
      <c r="C47" s="23">
        <v>234000</v>
      </c>
      <c r="D47" s="23">
        <v>256000</v>
      </c>
      <c r="E47" s="23">
        <v>264000</v>
      </c>
      <c r="F47" s="23">
        <v>240000</v>
      </c>
    </row>
    <row r="48" spans="1:6" ht="17" x14ac:dyDescent="0.2">
      <c r="A48" s="20" t="s">
        <v>42</v>
      </c>
      <c r="B48" s="23">
        <v>104000</v>
      </c>
      <c r="C48" s="23">
        <v>104000</v>
      </c>
      <c r="D48" s="23">
        <v>104000</v>
      </c>
      <c r="E48" s="23">
        <v>104000</v>
      </c>
      <c r="F48" s="23">
        <v>104000</v>
      </c>
    </row>
    <row r="49" spans="1:7" ht="17" x14ac:dyDescent="0.2">
      <c r="A49" s="20" t="s">
        <v>54</v>
      </c>
      <c r="B49" s="23">
        <v>44000</v>
      </c>
      <c r="C49" s="56">
        <f>E18</f>
        <v>36938</v>
      </c>
      <c r="D49" s="56">
        <f>E19</f>
        <v>29099.18</v>
      </c>
      <c r="E49" s="56">
        <f>E20</f>
        <v>20398.089799999998</v>
      </c>
      <c r="F49" s="56">
        <f>E21</f>
        <v>10739.879677999999</v>
      </c>
    </row>
    <row r="50" spans="1:7" ht="17" x14ac:dyDescent="0.2">
      <c r="A50" s="41" t="s">
        <v>50</v>
      </c>
      <c r="B50" s="42">
        <f>B47-B48-B49</f>
        <v>32000</v>
      </c>
      <c r="C50" s="42">
        <f t="shared" ref="C50:F50" si="15">C47-C48-C49</f>
        <v>93062</v>
      </c>
      <c r="D50" s="42">
        <f t="shared" si="15"/>
        <v>122900.82</v>
      </c>
      <c r="E50" s="42">
        <f t="shared" si="15"/>
        <v>139601.91020000001</v>
      </c>
      <c r="F50" s="42">
        <f t="shared" si="15"/>
        <v>125260.120322</v>
      </c>
    </row>
    <row r="51" spans="1:7" ht="17" x14ac:dyDescent="0.2">
      <c r="A51" s="20" t="s">
        <v>37</v>
      </c>
      <c r="B51" s="23">
        <f>B50*30%</f>
        <v>9600</v>
      </c>
      <c r="C51" s="23">
        <f t="shared" ref="C51:F51" si="16">C50*30%</f>
        <v>27918.6</v>
      </c>
      <c r="D51" s="57">
        <f t="shared" si="16"/>
        <v>36870.245999999999</v>
      </c>
      <c r="E51" s="57">
        <f t="shared" si="16"/>
        <v>41880.573060000002</v>
      </c>
      <c r="F51" s="57">
        <f t="shared" si="16"/>
        <v>37578.036096600001</v>
      </c>
    </row>
    <row r="52" spans="1:7" ht="17" x14ac:dyDescent="0.2">
      <c r="A52" s="43" t="s">
        <v>52</v>
      </c>
      <c r="B52" s="58">
        <f>B50-B51</f>
        <v>22400</v>
      </c>
      <c r="C52" s="58">
        <f t="shared" ref="C52:F52" si="17">C50-C51</f>
        <v>65143.4</v>
      </c>
      <c r="D52" s="58">
        <f t="shared" si="17"/>
        <v>86030.574000000008</v>
      </c>
      <c r="E52" s="58">
        <f t="shared" si="17"/>
        <v>97721.337140000018</v>
      </c>
      <c r="F52" s="58">
        <f t="shared" si="17"/>
        <v>87682.084225400002</v>
      </c>
    </row>
    <row r="53" spans="1:7" ht="17" x14ac:dyDescent="0.2">
      <c r="A53" s="20" t="s">
        <v>42</v>
      </c>
      <c r="B53" s="7">
        <f>B48</f>
        <v>104000</v>
      </c>
      <c r="C53" s="7">
        <f t="shared" ref="C53:F53" si="18">C48</f>
        <v>104000</v>
      </c>
      <c r="D53" s="7">
        <f t="shared" si="18"/>
        <v>104000</v>
      </c>
      <c r="E53" s="7">
        <f t="shared" si="18"/>
        <v>104000</v>
      </c>
      <c r="F53" s="7">
        <f t="shared" si="18"/>
        <v>104000</v>
      </c>
    </row>
    <row r="54" spans="1:7" ht="17" x14ac:dyDescent="0.2">
      <c r="A54" s="44" t="s">
        <v>43</v>
      </c>
      <c r="B54" s="59">
        <f>B52+B53</f>
        <v>126400</v>
      </c>
      <c r="C54" s="59">
        <f t="shared" ref="C54:F54" si="19">C52+C53</f>
        <v>169143.4</v>
      </c>
      <c r="D54" s="59">
        <f t="shared" si="19"/>
        <v>190030.57400000002</v>
      </c>
      <c r="E54" s="59">
        <f t="shared" si="19"/>
        <v>201721.33714000002</v>
      </c>
      <c r="F54" s="59">
        <f t="shared" si="19"/>
        <v>191682.0842254</v>
      </c>
    </row>
    <row r="55" spans="1:7" ht="17" x14ac:dyDescent="0.2">
      <c r="A55" s="20" t="s">
        <v>53</v>
      </c>
      <c r="B55" s="7">
        <f>F17</f>
        <v>64200</v>
      </c>
      <c r="C55" s="7">
        <f>F18</f>
        <v>71262</v>
      </c>
      <c r="D55" s="11">
        <f>F19</f>
        <v>79100.820000000007</v>
      </c>
      <c r="E55" s="11">
        <f>F20</f>
        <v>87801.910199999998</v>
      </c>
      <c r="F55" s="11">
        <f>F21</f>
        <v>97460.120322000002</v>
      </c>
      <c r="G55" t="s">
        <v>55</v>
      </c>
    </row>
    <row r="56" spans="1:7" ht="17" x14ac:dyDescent="0.2">
      <c r="A56" s="45" t="s">
        <v>44</v>
      </c>
      <c r="B56" s="62">
        <f>B54-B55</f>
        <v>62200</v>
      </c>
      <c r="C56" s="62">
        <f t="shared" ref="C56:F56" si="20">C54-C55</f>
        <v>97881.4</v>
      </c>
      <c r="D56" s="62">
        <f t="shared" si="20"/>
        <v>110929.75400000002</v>
      </c>
      <c r="E56" s="62">
        <f t="shared" si="20"/>
        <v>113919.42694000002</v>
      </c>
      <c r="F56" s="62">
        <f t="shared" si="20"/>
        <v>94221.963903399999</v>
      </c>
    </row>
    <row r="57" spans="1:7" ht="17" x14ac:dyDescent="0.2">
      <c r="A57" s="21" t="s">
        <v>39</v>
      </c>
      <c r="B57" s="24">
        <f>B41</f>
        <v>0.90909090909090906</v>
      </c>
      <c r="C57" s="24">
        <f t="shared" ref="C57:F57" si="21">C41</f>
        <v>0.82644628099173545</v>
      </c>
      <c r="D57" s="24">
        <f t="shared" si="21"/>
        <v>0.75131480090157754</v>
      </c>
      <c r="E57" s="24">
        <f t="shared" si="21"/>
        <v>0.68301345536507052</v>
      </c>
      <c r="F57" s="24">
        <f t="shared" si="21"/>
        <v>0.62092132305915493</v>
      </c>
    </row>
    <row r="58" spans="1:7" ht="17" x14ac:dyDescent="0.2">
      <c r="A58" s="46" t="s">
        <v>45</v>
      </c>
      <c r="B58" s="47">
        <f>B56*B57</f>
        <v>56545.454545454544</v>
      </c>
      <c r="C58" s="47">
        <f t="shared" ref="C58:F58" si="22">C56*C57</f>
        <v>80893.719008264452</v>
      </c>
      <c r="D58" s="47">
        <f t="shared" si="22"/>
        <v>83343.166040570984</v>
      </c>
      <c r="E58" s="47">
        <f t="shared" si="22"/>
        <v>77808.501427498122</v>
      </c>
      <c r="F58" s="47">
        <f t="shared" si="22"/>
        <v>58504.426488131066</v>
      </c>
      <c r="G58" s="50">
        <f>SUM(B58:F58)</f>
        <v>357095.26750991918</v>
      </c>
    </row>
    <row r="59" spans="1:7" ht="17" x14ac:dyDescent="0.2">
      <c r="A59" s="46" t="s">
        <v>56</v>
      </c>
      <c r="B59" s="47">
        <v>120000</v>
      </c>
      <c r="C59" s="63"/>
      <c r="D59" s="63"/>
      <c r="E59" s="63"/>
      <c r="F59" s="63"/>
    </row>
    <row r="60" spans="1:7" ht="17" x14ac:dyDescent="0.2">
      <c r="A60" s="37" t="s">
        <v>41</v>
      </c>
      <c r="B60" s="38">
        <f>G58-B59</f>
        <v>237095.26750991918</v>
      </c>
    </row>
    <row r="62" spans="1:7" x14ac:dyDescent="0.2">
      <c r="A62" s="33" t="s">
        <v>57</v>
      </c>
    </row>
  </sheetData>
  <mergeCells count="3">
    <mergeCell ref="B11:F11"/>
    <mergeCell ref="F22:G22"/>
    <mergeCell ref="G29:I29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2022-11-28T23:07:48Z</dcterms:created>
  <dcterms:modified xsi:type="dcterms:W3CDTF">2022-12-18T20:57:48Z</dcterms:modified>
</cp:coreProperties>
</file>