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170" windowHeight="6165" activeTab="0"/>
  </bookViews>
  <sheets>
    <sheet name="Planning" sheetId="1" r:id="rId1"/>
    <sheet name="calcul" sheetId="2" r:id="rId2"/>
    <sheet name="principe" sheetId="3" r:id="rId3"/>
  </sheets>
  <definedNames/>
  <calcPr fullCalcOnLoad="1"/>
</workbook>
</file>

<file path=xl/sharedStrings.xml><?xml version="1.0" encoding="utf-8"?>
<sst xmlns="http://schemas.openxmlformats.org/spreadsheetml/2006/main" count="435" uniqueCount="163">
  <si>
    <t>vitesse</t>
  </si>
  <si>
    <t>distance</t>
  </si>
  <si>
    <t>durée</t>
  </si>
  <si>
    <t>h</t>
  </si>
  <si>
    <t>'</t>
  </si>
  <si>
    <t>"</t>
  </si>
  <si>
    <t>km/h</t>
  </si>
  <si>
    <t>km</t>
  </si>
  <si>
    <t>m</t>
  </si>
  <si>
    <t>VMA</t>
  </si>
  <si>
    <t>récup</t>
  </si>
  <si>
    <t>min</t>
  </si>
  <si>
    <t>max</t>
  </si>
  <si>
    <t>70%-75%</t>
  </si>
  <si>
    <t>75%-80%</t>
  </si>
  <si>
    <t>80%-85%</t>
  </si>
  <si>
    <t>85%-90%</t>
  </si>
  <si>
    <t>90%-95%</t>
  </si>
  <si>
    <t>95%-100%</t>
  </si>
  <si>
    <t>Echauffement - Récup</t>
  </si>
  <si>
    <t>Endurance fondamentale</t>
  </si>
  <si>
    <t>Dévelloppement VMA</t>
  </si>
  <si>
    <t>Maintien VMA</t>
  </si>
  <si>
    <t>récup 400m</t>
  </si>
  <si>
    <t>Chrono estimé</t>
  </si>
  <si>
    <t>Allure</t>
  </si>
  <si>
    <t>récup 500 - 600 m</t>
  </si>
  <si>
    <t>dév vma</t>
  </si>
  <si>
    <t>maintien</t>
  </si>
  <si>
    <t>déduction récup / rush 0-300m</t>
  </si>
  <si>
    <t>Lundi</t>
  </si>
  <si>
    <t>Mardi</t>
  </si>
  <si>
    <t>Mercredi</t>
  </si>
  <si>
    <t>Jeudi</t>
  </si>
  <si>
    <t>Vendredi</t>
  </si>
  <si>
    <t>Samedi</t>
  </si>
  <si>
    <t>Dimanche</t>
  </si>
  <si>
    <t>S 35</t>
  </si>
  <si>
    <t>S 36</t>
  </si>
  <si>
    <t>S 37</t>
  </si>
  <si>
    <t>S 38</t>
  </si>
  <si>
    <t>S 39</t>
  </si>
  <si>
    <t>S 40</t>
  </si>
  <si>
    <t>S 41</t>
  </si>
  <si>
    <t>S 42</t>
  </si>
  <si>
    <t>S 43</t>
  </si>
  <si>
    <t>S 44</t>
  </si>
  <si>
    <t>S 45</t>
  </si>
  <si>
    <t>S 46</t>
  </si>
  <si>
    <t>S 47</t>
  </si>
  <si>
    <t>S 48</t>
  </si>
  <si>
    <t>S 49</t>
  </si>
  <si>
    <t>S 50</t>
  </si>
  <si>
    <t>S 51</t>
  </si>
  <si>
    <t>S 52</t>
  </si>
  <si>
    <t>Commentaires</t>
  </si>
  <si>
    <t>outil somme</t>
  </si>
  <si>
    <t>sec</t>
  </si>
  <si>
    <t>Répétition</t>
  </si>
  <si>
    <t>Détails</t>
  </si>
  <si>
    <t>Meilleures performances</t>
  </si>
  <si>
    <t>10 km</t>
  </si>
  <si>
    <t>Semi</t>
  </si>
  <si>
    <t>Marathon</t>
  </si>
  <si>
    <t>6 à 10'</t>
  </si>
  <si>
    <t>8 à 14'</t>
  </si>
  <si>
    <t>10 à 18'</t>
  </si>
  <si>
    <t>effort</t>
  </si>
  <si>
    <t>travail</t>
  </si>
  <si>
    <t>15 à 30'</t>
  </si>
  <si>
    <t>2 à 4 kms</t>
  </si>
  <si>
    <t>1'10" &lt; VMAL &lt; 3'</t>
  </si>
  <si>
    <t>VMAC &lt; 1'10"</t>
  </si>
  <si>
    <t>20 à 40'</t>
  </si>
  <si>
    <t>Récupération</t>
  </si>
  <si>
    <t>Blocs Spé</t>
  </si>
  <si>
    <t>Relâchement</t>
  </si>
  <si>
    <t>10x30"/30" souple</t>
  </si>
  <si>
    <t>1h à 10km/h</t>
  </si>
  <si>
    <t>Marathon vert de Rennes</t>
  </si>
  <si>
    <t>1h15 à 10km/h</t>
  </si>
  <si>
    <t>1h30 à 10km/h</t>
  </si>
  <si>
    <t>2x10x200 en 49"/47" et 2' entre série</t>
  </si>
  <si>
    <t>5x(200+400+200 - 49"/47"/1'43"/1'/49"/47")</t>
  </si>
  <si>
    <t>10x400 en 1'43"/1'10"</t>
  </si>
  <si>
    <t>10 x30"/30"</t>
  </si>
  <si>
    <t>3x2000 à 10,7 km/h</t>
  </si>
  <si>
    <t>3x3000 à 10,7 km/h</t>
  </si>
  <si>
    <t>3x1000 à 10,7 km/h</t>
  </si>
  <si>
    <t>1h à 10,2 km/h</t>
  </si>
  <si>
    <t>6x1000 à 4'40"</t>
  </si>
  <si>
    <t>3x2000 à 4'40"</t>
  </si>
  <si>
    <t>2x3000 à 4'40"</t>
  </si>
  <si>
    <t>2x2000 à 4'40"</t>
  </si>
  <si>
    <t>3x2000 à 5'27"</t>
  </si>
  <si>
    <t>3x4000 à 5'27"</t>
  </si>
  <si>
    <t>3x5000 à 5'27"</t>
  </si>
  <si>
    <t>3x6000 à 5'27"</t>
  </si>
  <si>
    <t>3x3000 à 5'27"</t>
  </si>
  <si>
    <t>1h à 5'43"</t>
  </si>
  <si>
    <t>1h30 à 5'43"</t>
  </si>
  <si>
    <t>1h45 à 5'43"</t>
  </si>
  <si>
    <t>2h à 5'43"</t>
  </si>
  <si>
    <t>1h15 à 5'43"</t>
  </si>
  <si>
    <t>1h à 5'35"</t>
  </si>
  <si>
    <t>1h dont 3x1000 à 5'27"</t>
  </si>
  <si>
    <t>20' cool</t>
  </si>
  <si>
    <t>8x400 en 1'39"/1'</t>
  </si>
  <si>
    <t>9x400 en 1'39"/1'</t>
  </si>
  <si>
    <t>10x400 en 1'39"/1'</t>
  </si>
  <si>
    <t>45' footing</t>
  </si>
  <si>
    <t>1h15 à 5'35"</t>
  </si>
  <si>
    <t>1h à 6' dont 8x30"/30" souple</t>
  </si>
  <si>
    <t>1h à 6' dont 6x30"/30" souple</t>
  </si>
  <si>
    <t>1h à 6' dont 7x30"/30" souple</t>
  </si>
  <si>
    <t>S 1</t>
  </si>
  <si>
    <t>S 2</t>
  </si>
  <si>
    <t>S 3</t>
  </si>
  <si>
    <t>S 4</t>
  </si>
  <si>
    <t>S 5</t>
  </si>
  <si>
    <t>S 6</t>
  </si>
  <si>
    <t>S 7</t>
  </si>
  <si>
    <t>1h à 6' dont 6x40"/30" souple</t>
  </si>
  <si>
    <t>1h à 6' dont 7x40"/30" souple</t>
  </si>
  <si>
    <t>1h à 6' dont 8x40"/30" souple</t>
  </si>
  <si>
    <t>7x600 en 2'29"/1'</t>
  </si>
  <si>
    <t>8x600 en 2'29"/1'</t>
  </si>
  <si>
    <t>9x600 en 2'29"/1'</t>
  </si>
  <si>
    <t>Blocs Vma</t>
  </si>
  <si>
    <t>S 8</t>
  </si>
  <si>
    <t>S 9</t>
  </si>
  <si>
    <t>S 10</t>
  </si>
  <si>
    <t>S 11</t>
  </si>
  <si>
    <t>1h à 6' dont 6x40"/25" souple</t>
  </si>
  <si>
    <t>1h à 6' dont 7x40"/25" souple</t>
  </si>
  <si>
    <t>6x1000 en 4'45"/1'30"</t>
  </si>
  <si>
    <t>1h à 5'25"</t>
  </si>
  <si>
    <t>8x600 en 2'45"/1'</t>
  </si>
  <si>
    <t>3x2000 en 4'45"/1'30"</t>
  </si>
  <si>
    <t>2x3000 en 4'45"/1'30"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</si>
  <si>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</si>
  <si>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</si>
  <si>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</si>
  <si>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</si>
  <si>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</si>
  <si>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</si>
  <si>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</si>
  <si>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</si>
  <si>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</si>
  <si>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</si>
  <si>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Marathon du mont saint Michel</t>
  </si>
  <si>
    <t>1h30 à 5'35"</t>
  </si>
  <si>
    <t>Blocs Spe</t>
  </si>
  <si>
    <t>1h footing</t>
  </si>
  <si>
    <t>1h45 à 5'35"</t>
  </si>
  <si>
    <t>Compétition</t>
  </si>
  <si>
    <t>2000+3000+2000 en 4'40"/1'15"</t>
  </si>
  <si>
    <t>3x3000 en 4'40"/1'15"</t>
  </si>
  <si>
    <t>3000+3000+2000 en 4'40"/1'15"</t>
  </si>
  <si>
    <t>3000+4000+3000 en 4'40"/1'15"</t>
  </si>
  <si>
    <t>4000+4000+3000 en 4'40"/1'15"</t>
  </si>
  <si>
    <t>3x4000 en 4'40"/1'15"</t>
  </si>
  <si>
    <t>20' footing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</si>
</sst>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  <numFmt numFmtId="167" formatCode="d\ mmmm\ yyyy"/>
    <numFmt numFmtId="168" formatCode="d\-mmm"/>
    <numFmt numFmtId="169" formatCode="mmm\-yyyy"/>
    <numFmt numFmtId="170" formatCode="d/m"/>
    <numFmt numFmtId="171" formatCode="[$-40C]dddd\ d\ mmmm\ yyyy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9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quotePrefix="1">
      <alignment/>
    </xf>
    <xf numFmtId="1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 quotePrefix="1">
      <alignment/>
    </xf>
    <xf numFmtId="9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Fill="1" applyBorder="1" applyAlignment="1" quotePrefix="1">
      <alignment/>
    </xf>
    <xf numFmtId="1" fontId="0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9" fontId="0" fillId="0" borderId="21" xfId="0" applyNumberFormat="1" applyFont="1" applyFill="1" applyBorder="1" applyAlignment="1">
      <alignment/>
    </xf>
    <xf numFmtId="9" fontId="0" fillId="34" borderId="14" xfId="0" applyNumberFormat="1" applyFont="1" applyFill="1" applyBorder="1" applyAlignment="1">
      <alignment/>
    </xf>
    <xf numFmtId="9" fontId="0" fillId="35" borderId="2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9" fontId="0" fillId="34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9" fontId="0" fillId="35" borderId="22" xfId="0" applyNumberFormat="1" applyFont="1" applyFill="1" applyBorder="1" applyAlignment="1">
      <alignment/>
    </xf>
    <xf numFmtId="1" fontId="0" fillId="33" borderId="17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8" xfId="0" applyFont="1" applyFill="1" applyBorder="1" applyAlignment="1" quotePrefix="1">
      <alignment/>
    </xf>
    <xf numFmtId="0" fontId="0" fillId="0" borderId="23" xfId="0" applyFont="1" applyFill="1" applyBorder="1" applyAlignment="1" quotePrefix="1">
      <alignment/>
    </xf>
    <xf numFmtId="0" fontId="0" fillId="0" borderId="20" xfId="0" applyFont="1" applyFill="1" applyBorder="1" applyAlignment="1" quotePrefix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1" fontId="0" fillId="33" borderId="2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9" fontId="0" fillId="0" borderId="15" xfId="0" applyNumberFormat="1" applyFont="1" applyBorder="1" applyAlignment="1">
      <alignment/>
    </xf>
    <xf numFmtId="164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3" borderId="28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164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 quotePrefix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quotePrefix="1">
      <alignment/>
    </xf>
    <xf numFmtId="1" fontId="0" fillId="33" borderId="0" xfId="0" applyNumberFormat="1" applyFill="1" applyBorder="1" applyAlignment="1">
      <alignment/>
    </xf>
    <xf numFmtId="0" fontId="0" fillId="33" borderId="10" xfId="0" applyFill="1" applyBorder="1" applyAlignment="1" quotePrefix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3" xfId="0" applyFill="1" applyBorder="1" applyAlignment="1" quotePrefix="1">
      <alignment/>
    </xf>
    <xf numFmtId="1" fontId="0" fillId="33" borderId="33" xfId="0" applyNumberFormat="1" applyFill="1" applyBorder="1" applyAlignment="1">
      <alignment/>
    </xf>
    <xf numFmtId="0" fontId="0" fillId="33" borderId="11" xfId="0" applyFill="1" applyBorder="1" applyAlignment="1" quotePrefix="1">
      <alignment/>
    </xf>
    <xf numFmtId="2" fontId="0" fillId="0" borderId="32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Alignment="1">
      <alignment/>
    </xf>
    <xf numFmtId="0" fontId="0" fillId="0" borderId="34" xfId="0" applyBorder="1" applyAlignment="1">
      <alignment/>
    </xf>
    <xf numFmtId="0" fontId="0" fillId="33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33" borderId="34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7" borderId="36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38" borderId="36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9">
      <selection activeCell="G47" sqref="G47"/>
    </sheetView>
  </sheetViews>
  <sheetFormatPr defaultColWidth="11.421875" defaultRowHeight="12.75"/>
  <cols>
    <col min="1" max="1" width="4.8515625" style="0" bestFit="1" customWidth="1"/>
    <col min="2" max="2" width="5.421875" style="0" bestFit="1" customWidth="1"/>
    <col min="3" max="3" width="5.57421875" style="0" bestFit="1" customWidth="1"/>
    <col min="4" max="4" width="36.8515625" style="0" bestFit="1" customWidth="1"/>
    <col min="5" max="5" width="13.421875" style="0" bestFit="1" customWidth="1"/>
    <col min="6" max="6" width="9.28125" style="0" bestFit="1" customWidth="1"/>
    <col min="7" max="7" width="45.8515625" style="0" bestFit="1" customWidth="1"/>
    <col min="8" max="8" width="37.28125" style="0" bestFit="1" customWidth="1"/>
    <col min="9" max="9" width="15.421875" style="0" customWidth="1"/>
    <col min="10" max="10" width="38.8515625" style="0" customWidth="1"/>
  </cols>
  <sheetData>
    <row r="1" spans="2:10" ht="13.5" thickBot="1">
      <c r="B1" s="73" t="s">
        <v>30</v>
      </c>
      <c r="C1" s="73" t="s">
        <v>31</v>
      </c>
      <c r="D1" s="73" t="s">
        <v>32</v>
      </c>
      <c r="E1" s="76" t="s">
        <v>33</v>
      </c>
      <c r="F1" s="75" t="s">
        <v>34</v>
      </c>
      <c r="G1" s="74" t="s">
        <v>35</v>
      </c>
      <c r="H1" s="75" t="s">
        <v>36</v>
      </c>
      <c r="I1" s="75" t="s">
        <v>55</v>
      </c>
      <c r="J1" s="77" t="s">
        <v>59</v>
      </c>
    </row>
    <row r="2" spans="1:10" ht="13.5" thickBot="1">
      <c r="A2" s="76" t="s">
        <v>37</v>
      </c>
      <c r="B2" s="19"/>
      <c r="D2" s="119" t="s">
        <v>77</v>
      </c>
      <c r="E2" s="19"/>
      <c r="F2" s="19"/>
      <c r="G2" s="19"/>
      <c r="H2" s="118" t="s">
        <v>78</v>
      </c>
      <c r="I2" s="115" t="s">
        <v>74</v>
      </c>
      <c r="J2" s="19"/>
    </row>
    <row r="3" spans="1:10" ht="13.5" thickBot="1">
      <c r="A3" s="76" t="s">
        <v>38</v>
      </c>
      <c r="B3" s="19"/>
      <c r="C3" s="19"/>
      <c r="D3" s="19" t="s">
        <v>82</v>
      </c>
      <c r="E3" s="19" t="s">
        <v>89</v>
      </c>
      <c r="F3" s="19"/>
      <c r="G3" s="19" t="s">
        <v>88</v>
      </c>
      <c r="H3" s="19" t="s">
        <v>78</v>
      </c>
      <c r="I3" s="116" t="s">
        <v>75</v>
      </c>
      <c r="J3" s="19"/>
    </row>
    <row r="4" spans="1:10" ht="13.5" thickBot="1">
      <c r="A4" s="76" t="s">
        <v>39</v>
      </c>
      <c r="B4" s="19"/>
      <c r="C4" s="19"/>
      <c r="D4" s="19" t="s">
        <v>83</v>
      </c>
      <c r="E4" s="19" t="s">
        <v>89</v>
      </c>
      <c r="F4" s="19"/>
      <c r="G4" s="19" t="s">
        <v>86</v>
      </c>
      <c r="H4" s="112" t="s">
        <v>80</v>
      </c>
      <c r="I4" s="114"/>
      <c r="J4" s="19"/>
    </row>
    <row r="5" spans="1:10" ht="13.5" thickBot="1">
      <c r="A5" s="76" t="s">
        <v>40</v>
      </c>
      <c r="B5" s="19"/>
      <c r="C5" s="19"/>
      <c r="D5" s="19" t="s">
        <v>84</v>
      </c>
      <c r="E5" s="19" t="s">
        <v>89</v>
      </c>
      <c r="F5" s="19"/>
      <c r="G5" s="19" t="s">
        <v>87</v>
      </c>
      <c r="H5" s="112" t="s">
        <v>81</v>
      </c>
      <c r="I5" s="114"/>
      <c r="J5" s="19"/>
    </row>
    <row r="6" spans="1:10" ht="13.5" thickBot="1">
      <c r="A6" s="76" t="s">
        <v>41</v>
      </c>
      <c r="B6" s="19"/>
      <c r="C6" s="19"/>
      <c r="D6" s="112" t="s">
        <v>85</v>
      </c>
      <c r="E6" s="19" t="s">
        <v>104</v>
      </c>
      <c r="F6" s="19"/>
      <c r="G6" s="19" t="s">
        <v>94</v>
      </c>
      <c r="H6" s="19" t="s">
        <v>99</v>
      </c>
      <c r="I6" s="115" t="s">
        <v>74</v>
      </c>
      <c r="J6" s="19"/>
    </row>
    <row r="7" spans="1:10" ht="13.5" thickBot="1">
      <c r="A7" s="76" t="s">
        <v>42</v>
      </c>
      <c r="B7" s="19"/>
      <c r="C7" s="19"/>
      <c r="D7" s="19" t="s">
        <v>90</v>
      </c>
      <c r="E7" s="19" t="s">
        <v>104</v>
      </c>
      <c r="F7" s="19"/>
      <c r="G7" s="19" t="s">
        <v>95</v>
      </c>
      <c r="H7" s="112" t="s">
        <v>100</v>
      </c>
      <c r="I7" s="116" t="s">
        <v>75</v>
      </c>
      <c r="J7" s="19"/>
    </row>
    <row r="8" spans="1:10" ht="13.5" thickBot="1">
      <c r="A8" s="76" t="s">
        <v>43</v>
      </c>
      <c r="B8" s="19"/>
      <c r="C8" s="19"/>
      <c r="D8" s="19" t="s">
        <v>91</v>
      </c>
      <c r="E8" s="19" t="s">
        <v>104</v>
      </c>
      <c r="F8" s="19"/>
      <c r="G8" s="19" t="s">
        <v>96</v>
      </c>
      <c r="H8" s="112" t="s">
        <v>101</v>
      </c>
      <c r="I8" s="114"/>
      <c r="J8" s="19"/>
    </row>
    <row r="9" spans="1:10" ht="13.5" thickBot="1">
      <c r="A9" s="76" t="s">
        <v>44</v>
      </c>
      <c r="B9" s="19"/>
      <c r="C9" s="19"/>
      <c r="D9" s="19" t="s">
        <v>92</v>
      </c>
      <c r="E9" s="19" t="s">
        <v>104</v>
      </c>
      <c r="F9" s="19"/>
      <c r="G9" s="19" t="s">
        <v>97</v>
      </c>
      <c r="H9" s="112" t="s">
        <v>102</v>
      </c>
      <c r="I9" s="114"/>
      <c r="J9" s="19"/>
    </row>
    <row r="10" spans="1:10" ht="13.5" thickBot="1">
      <c r="A10" s="76" t="s">
        <v>45</v>
      </c>
      <c r="B10" s="19"/>
      <c r="C10" s="19"/>
      <c r="D10" s="19" t="s">
        <v>93</v>
      </c>
      <c r="E10" s="19" t="s">
        <v>104</v>
      </c>
      <c r="F10" s="19"/>
      <c r="G10" s="19" t="s">
        <v>98</v>
      </c>
      <c r="H10" s="112" t="s">
        <v>103</v>
      </c>
      <c r="I10" s="117" t="s">
        <v>76</v>
      </c>
      <c r="J10" s="19"/>
    </row>
    <row r="11" spans="1:10" ht="13.5" thickBot="1">
      <c r="A11" s="76" t="s">
        <v>46</v>
      </c>
      <c r="B11" s="19"/>
      <c r="C11" s="19"/>
      <c r="D11" s="112" t="s">
        <v>105</v>
      </c>
      <c r="E11" s="19"/>
      <c r="F11" s="19" t="s">
        <v>106</v>
      </c>
      <c r="G11" s="19"/>
      <c r="H11" s="19" t="s">
        <v>79</v>
      </c>
      <c r="I11" s="115" t="s">
        <v>76</v>
      </c>
      <c r="J11" s="19"/>
    </row>
    <row r="12" spans="1:10" ht="13.5" thickBot="1">
      <c r="A12" s="76" t="s">
        <v>47</v>
      </c>
      <c r="B12" s="19"/>
      <c r="C12" s="19"/>
      <c r="E12" s="19"/>
      <c r="F12" s="19"/>
      <c r="G12" s="19"/>
      <c r="H12" s="19"/>
      <c r="I12" s="112"/>
      <c r="J12" s="19"/>
    </row>
    <row r="13" spans="1:10" ht="13.5" thickBot="1">
      <c r="A13" s="76" t="s">
        <v>48</v>
      </c>
      <c r="B13" s="19"/>
      <c r="C13" s="19"/>
      <c r="E13" s="19"/>
      <c r="F13" s="19"/>
      <c r="G13" s="19"/>
      <c r="H13" s="19"/>
      <c r="I13" s="112"/>
      <c r="J13" s="19"/>
    </row>
    <row r="14" spans="1:10" ht="13.5" thickBot="1">
      <c r="A14" s="76" t="s">
        <v>49</v>
      </c>
      <c r="B14" s="19"/>
      <c r="C14" s="19"/>
      <c r="E14" s="19"/>
      <c r="F14" s="19"/>
      <c r="G14" s="19"/>
      <c r="H14" s="19"/>
      <c r="I14" s="19"/>
      <c r="J14" s="19"/>
    </row>
    <row r="15" spans="1:10" ht="13.5" thickBot="1">
      <c r="A15" s="76" t="s">
        <v>50</v>
      </c>
      <c r="B15" s="19"/>
      <c r="C15" s="19"/>
      <c r="E15" s="19"/>
      <c r="F15" s="19"/>
      <c r="G15" s="19"/>
      <c r="H15" s="19"/>
      <c r="I15" s="19"/>
      <c r="J15" s="19"/>
    </row>
    <row r="16" spans="1:10" ht="13.5" thickBot="1">
      <c r="A16" s="76" t="s">
        <v>51</v>
      </c>
      <c r="B16" s="19"/>
      <c r="C16" s="19"/>
      <c r="D16" s="19" t="s">
        <v>107</v>
      </c>
      <c r="E16" s="19" t="s">
        <v>110</v>
      </c>
      <c r="F16" s="19"/>
      <c r="G16" t="s">
        <v>113</v>
      </c>
      <c r="H16" s="19" t="s">
        <v>111</v>
      </c>
      <c r="I16" s="120" t="s">
        <v>128</v>
      </c>
      <c r="J16" s="19"/>
    </row>
    <row r="17" spans="1:10" ht="13.5" thickBot="1">
      <c r="A17" s="76" t="s">
        <v>52</v>
      </c>
      <c r="B17" s="19"/>
      <c r="C17" s="19"/>
      <c r="D17" s="19" t="s">
        <v>108</v>
      </c>
      <c r="E17" s="19" t="s">
        <v>110</v>
      </c>
      <c r="F17" s="19"/>
      <c r="G17" t="s">
        <v>114</v>
      </c>
      <c r="H17" s="19" t="s">
        <v>111</v>
      </c>
      <c r="I17" s="114"/>
      <c r="J17" s="19"/>
    </row>
    <row r="18" spans="1:10" ht="13.5" thickBot="1">
      <c r="A18" s="76" t="s">
        <v>53</v>
      </c>
      <c r="B18" s="19"/>
      <c r="C18" s="19"/>
      <c r="D18" s="19" t="s">
        <v>109</v>
      </c>
      <c r="E18" s="19" t="s">
        <v>110</v>
      </c>
      <c r="F18" s="19"/>
      <c r="G18" t="s">
        <v>112</v>
      </c>
      <c r="H18" s="19" t="s">
        <v>111</v>
      </c>
      <c r="I18" s="114"/>
      <c r="J18" s="19"/>
    </row>
    <row r="19" spans="1:10" ht="13.5" thickBot="1">
      <c r="A19" s="76" t="s">
        <v>54</v>
      </c>
      <c r="B19" s="19"/>
      <c r="C19" s="19"/>
      <c r="D19" s="112" t="s">
        <v>77</v>
      </c>
      <c r="E19" s="19" t="s">
        <v>110</v>
      </c>
      <c r="F19" s="19"/>
      <c r="G19" s="19"/>
      <c r="H19" s="19" t="s">
        <v>111</v>
      </c>
      <c r="I19" s="115" t="s">
        <v>74</v>
      </c>
      <c r="J19" s="19"/>
    </row>
    <row r="20" spans="1:9" ht="13.5" thickBot="1">
      <c r="A20" s="76" t="s">
        <v>115</v>
      </c>
      <c r="D20" s="19" t="s">
        <v>125</v>
      </c>
      <c r="E20" s="19" t="s">
        <v>110</v>
      </c>
      <c r="F20" s="19"/>
      <c r="G20" t="s">
        <v>122</v>
      </c>
      <c r="H20" s="19" t="s">
        <v>111</v>
      </c>
      <c r="I20" s="120" t="s">
        <v>128</v>
      </c>
    </row>
    <row r="21" spans="1:9" ht="13.5" thickBot="1">
      <c r="A21" s="76" t="s">
        <v>116</v>
      </c>
      <c r="D21" s="19" t="s">
        <v>126</v>
      </c>
      <c r="E21" s="19" t="s">
        <v>110</v>
      </c>
      <c r="F21" s="19"/>
      <c r="G21" t="s">
        <v>123</v>
      </c>
      <c r="H21" s="19" t="s">
        <v>111</v>
      </c>
      <c r="I21" s="114"/>
    </row>
    <row r="22" spans="1:9" ht="13.5" thickBot="1">
      <c r="A22" s="76" t="s">
        <v>117</v>
      </c>
      <c r="D22" s="19" t="s">
        <v>127</v>
      </c>
      <c r="E22" s="19" t="s">
        <v>110</v>
      </c>
      <c r="F22" s="19"/>
      <c r="G22" t="s">
        <v>124</v>
      </c>
      <c r="H22" s="19" t="s">
        <v>111</v>
      </c>
      <c r="I22" s="114"/>
    </row>
    <row r="23" spans="1:9" ht="13.5" thickBot="1">
      <c r="A23" s="76" t="s">
        <v>118</v>
      </c>
      <c r="D23" s="112" t="s">
        <v>77</v>
      </c>
      <c r="E23" s="19" t="s">
        <v>110</v>
      </c>
      <c r="F23" s="19"/>
      <c r="H23" s="19" t="s">
        <v>111</v>
      </c>
      <c r="I23" s="115" t="s">
        <v>74</v>
      </c>
    </row>
    <row r="24" spans="1:9" ht="13.5" thickBot="1">
      <c r="A24" s="76" t="s">
        <v>119</v>
      </c>
      <c r="D24" s="19" t="s">
        <v>125</v>
      </c>
      <c r="E24" s="19" t="s">
        <v>110</v>
      </c>
      <c r="G24" t="s">
        <v>133</v>
      </c>
      <c r="H24" s="19" t="s">
        <v>111</v>
      </c>
      <c r="I24" s="120" t="s">
        <v>128</v>
      </c>
    </row>
    <row r="25" spans="1:9" ht="13.5" thickBot="1">
      <c r="A25" s="76" t="s">
        <v>120</v>
      </c>
      <c r="D25" s="19" t="s">
        <v>126</v>
      </c>
      <c r="E25" s="19" t="s">
        <v>110</v>
      </c>
      <c r="G25" t="s">
        <v>134</v>
      </c>
      <c r="H25" s="19" t="s">
        <v>111</v>
      </c>
      <c r="I25" s="114"/>
    </row>
    <row r="26" spans="1:9" ht="13.5" thickBot="1">
      <c r="A26" s="76" t="s">
        <v>121</v>
      </c>
      <c r="D26" s="19" t="s">
        <v>137</v>
      </c>
      <c r="E26" s="19" t="s">
        <v>110</v>
      </c>
      <c r="G26" t="s">
        <v>136</v>
      </c>
      <c r="H26" s="19" t="s">
        <v>111</v>
      </c>
      <c r="I26" s="114"/>
    </row>
    <row r="27" spans="1:9" ht="13.5" thickBot="1">
      <c r="A27" s="76" t="s">
        <v>129</v>
      </c>
      <c r="E27" s="19" t="s">
        <v>110</v>
      </c>
      <c r="H27" s="19" t="s">
        <v>111</v>
      </c>
      <c r="I27" s="115" t="s">
        <v>74</v>
      </c>
    </row>
    <row r="28" spans="1:9" ht="13.5" thickBot="1">
      <c r="A28" s="76" t="s">
        <v>130</v>
      </c>
      <c r="D28" t="s">
        <v>135</v>
      </c>
      <c r="E28" s="19" t="s">
        <v>110</v>
      </c>
      <c r="G28" t="s">
        <v>136</v>
      </c>
      <c r="H28" s="19" t="s">
        <v>111</v>
      </c>
      <c r="I28" s="120" t="s">
        <v>128</v>
      </c>
    </row>
    <row r="29" spans="1:9" ht="13.5" thickBot="1">
      <c r="A29" s="76" t="s">
        <v>131</v>
      </c>
      <c r="D29" t="s">
        <v>138</v>
      </c>
      <c r="E29" s="19" t="s">
        <v>110</v>
      </c>
      <c r="G29" t="s">
        <v>136</v>
      </c>
      <c r="H29" s="19" t="s">
        <v>111</v>
      </c>
      <c r="I29" s="114"/>
    </row>
    <row r="30" spans="1:9" ht="13.5" thickBot="1">
      <c r="A30" s="76" t="s">
        <v>132</v>
      </c>
      <c r="D30" t="s">
        <v>139</v>
      </c>
      <c r="E30" s="19" t="s">
        <v>110</v>
      </c>
      <c r="G30" t="s">
        <v>136</v>
      </c>
      <c r="H30" s="19" t="s">
        <v>111</v>
      </c>
      <c r="I30" s="114"/>
    </row>
    <row r="31" spans="1:9" ht="13.5" thickBot="1">
      <c r="A31" s="76" t="s">
        <v>140</v>
      </c>
      <c r="E31" s="19" t="s">
        <v>110</v>
      </c>
      <c r="H31" s="19" t="s">
        <v>111</v>
      </c>
      <c r="I31" s="115" t="s">
        <v>74</v>
      </c>
    </row>
    <row r="32" spans="1:9" ht="13.5" thickBot="1">
      <c r="A32" s="76" t="s">
        <v>141</v>
      </c>
      <c r="D32" t="s">
        <v>156</v>
      </c>
      <c r="E32" s="19" t="s">
        <v>153</v>
      </c>
      <c r="G32" t="s">
        <v>136</v>
      </c>
      <c r="H32" s="19" t="s">
        <v>151</v>
      </c>
      <c r="I32" s="124" t="s">
        <v>152</v>
      </c>
    </row>
    <row r="33" spans="1:9" ht="13.5" thickBot="1">
      <c r="A33" s="76" t="s">
        <v>142</v>
      </c>
      <c r="D33" t="s">
        <v>158</v>
      </c>
      <c r="E33" s="19" t="s">
        <v>153</v>
      </c>
      <c r="G33" t="s">
        <v>136</v>
      </c>
      <c r="H33" s="19" t="s">
        <v>151</v>
      </c>
      <c r="I33" s="114"/>
    </row>
    <row r="34" spans="1:9" ht="13.5" thickBot="1">
      <c r="A34" s="76" t="s">
        <v>143</v>
      </c>
      <c r="D34" t="s">
        <v>157</v>
      </c>
      <c r="E34" s="19" t="s">
        <v>153</v>
      </c>
      <c r="G34" t="s">
        <v>136</v>
      </c>
      <c r="H34" s="19" t="s">
        <v>151</v>
      </c>
      <c r="I34" s="114"/>
    </row>
    <row r="35" spans="1:9" ht="13.5" thickBot="1">
      <c r="A35" s="76" t="s">
        <v>144</v>
      </c>
      <c r="E35" s="19" t="s">
        <v>153</v>
      </c>
      <c r="H35" s="19" t="s">
        <v>151</v>
      </c>
      <c r="I35" s="115" t="s">
        <v>74</v>
      </c>
    </row>
    <row r="36" spans="1:9" ht="13.5" thickBot="1">
      <c r="A36" s="76" t="s">
        <v>145</v>
      </c>
      <c r="D36" t="s">
        <v>159</v>
      </c>
      <c r="E36" s="19" t="s">
        <v>153</v>
      </c>
      <c r="G36" t="s">
        <v>136</v>
      </c>
      <c r="H36" s="19" t="s">
        <v>154</v>
      </c>
      <c r="I36" s="124" t="s">
        <v>152</v>
      </c>
    </row>
    <row r="37" spans="1:9" ht="13.5" thickBot="1">
      <c r="A37" s="76" t="s">
        <v>146</v>
      </c>
      <c r="D37" t="s">
        <v>160</v>
      </c>
      <c r="E37" s="19" t="s">
        <v>153</v>
      </c>
      <c r="G37" t="s">
        <v>136</v>
      </c>
      <c r="H37" s="19" t="s">
        <v>154</v>
      </c>
      <c r="I37" s="114"/>
    </row>
    <row r="38" spans="1:9" ht="13.5" thickBot="1">
      <c r="A38" s="76" t="s">
        <v>147</v>
      </c>
      <c r="D38" t="s">
        <v>161</v>
      </c>
      <c r="E38" s="19" t="s">
        <v>153</v>
      </c>
      <c r="G38" t="s">
        <v>136</v>
      </c>
      <c r="H38" s="19" t="s">
        <v>154</v>
      </c>
      <c r="I38" s="114"/>
    </row>
    <row r="39" spans="1:9" ht="13.5" thickBot="1">
      <c r="A39" s="76" t="s">
        <v>148</v>
      </c>
      <c r="D39" t="s">
        <v>77</v>
      </c>
      <c r="E39" s="19" t="s">
        <v>153</v>
      </c>
      <c r="H39" s="112" t="s">
        <v>111</v>
      </c>
      <c r="I39" s="115" t="s">
        <v>74</v>
      </c>
    </row>
    <row r="40" spans="1:9" ht="13.5" thickBot="1">
      <c r="A40" s="76" t="s">
        <v>149</v>
      </c>
      <c r="D40" t="s">
        <v>110</v>
      </c>
      <c r="F40" t="s">
        <v>162</v>
      </c>
      <c r="H40" t="s">
        <v>150</v>
      </c>
      <c r="I40" s="115" t="s">
        <v>155</v>
      </c>
    </row>
  </sheetData>
  <sheetProtection/>
  <printOptions/>
  <pageMargins left="0.25" right="0.2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46"/>
  <sheetViews>
    <sheetView zoomScalePageLayoutView="0" workbookViewId="0" topLeftCell="A9">
      <selection activeCell="B29" sqref="B29"/>
    </sheetView>
  </sheetViews>
  <sheetFormatPr defaultColWidth="11.421875" defaultRowHeight="12.75"/>
  <cols>
    <col min="1" max="1" width="8.7109375" style="0" bestFit="1" customWidth="1"/>
    <col min="2" max="2" width="5.57421875" style="0" bestFit="1" customWidth="1"/>
    <col min="3" max="3" width="5.140625" style="0" bestFit="1" customWidth="1"/>
    <col min="4" max="4" width="6.140625" style="0" customWidth="1"/>
    <col min="5" max="5" width="4.28125" style="0" customWidth="1"/>
    <col min="6" max="6" width="3.421875" style="0" customWidth="1"/>
    <col min="7" max="7" width="2.00390625" style="0" customWidth="1"/>
    <col min="8" max="8" width="5.421875" style="0" customWidth="1"/>
    <col min="9" max="9" width="2.28125" style="0" customWidth="1"/>
    <col min="10" max="10" width="6.28125" style="0" bestFit="1" customWidth="1"/>
    <col min="11" max="11" width="1.8515625" style="0" bestFit="1" customWidth="1"/>
    <col min="12" max="12" width="5.00390625" style="0" bestFit="1" customWidth="1"/>
    <col min="13" max="13" width="2.57421875" style="0" bestFit="1" customWidth="1"/>
    <col min="17" max="17" width="5.140625" style="0" bestFit="1" customWidth="1"/>
    <col min="18" max="18" width="5.00390625" style="0" bestFit="1" customWidth="1"/>
    <col min="19" max="19" width="3.00390625" style="0" bestFit="1" customWidth="1"/>
    <col min="20" max="20" width="2.00390625" style="0" bestFit="1" customWidth="1"/>
    <col min="21" max="21" width="4.00390625" style="0" bestFit="1" customWidth="1"/>
    <col min="22" max="22" width="1.28515625" style="0" bestFit="1" customWidth="1"/>
    <col min="23" max="23" width="5.00390625" style="0" bestFit="1" customWidth="1"/>
    <col min="24" max="26" width="2.00390625" style="0" bestFit="1" customWidth="1"/>
    <col min="27" max="27" width="4.57421875" style="0" bestFit="1" customWidth="1"/>
    <col min="28" max="28" width="1.28515625" style="0" bestFit="1" customWidth="1"/>
    <col min="29" max="30" width="3.00390625" style="0" bestFit="1" customWidth="1"/>
    <col min="31" max="31" width="21.421875" style="0" bestFit="1" customWidth="1"/>
    <col min="32" max="32" width="3.00390625" style="0" bestFit="1" customWidth="1"/>
    <col min="33" max="33" width="1.8515625" style="0" bestFit="1" customWidth="1"/>
  </cols>
  <sheetData>
    <row r="1" ht="16.5" customHeight="1"/>
    <row r="2" spans="2:11" ht="16.5" customHeight="1">
      <c r="B2" s="3"/>
      <c r="C2" s="3"/>
      <c r="D2" s="3"/>
      <c r="E2" s="3"/>
      <c r="F2" s="3"/>
      <c r="G2" s="3"/>
      <c r="H2" s="3"/>
      <c r="I2" s="6" t="s">
        <v>29</v>
      </c>
      <c r="J2" s="52">
        <v>2</v>
      </c>
      <c r="K2" s="52" t="s">
        <v>5</v>
      </c>
    </row>
    <row r="3" spans="2:11" ht="16.5" customHeight="1">
      <c r="B3" s="54" t="s">
        <v>9</v>
      </c>
      <c r="C3" s="3"/>
      <c r="D3" s="3"/>
      <c r="E3" s="3"/>
      <c r="F3" s="3"/>
      <c r="G3" s="3"/>
      <c r="H3" s="3"/>
      <c r="I3" s="6" t="s">
        <v>23</v>
      </c>
      <c r="J3" s="52">
        <v>60</v>
      </c>
      <c r="K3" s="52" t="s">
        <v>5</v>
      </c>
    </row>
    <row r="4" spans="2:11" ht="16.5" customHeight="1">
      <c r="B4" s="53">
        <v>14.5</v>
      </c>
      <c r="C4" s="3"/>
      <c r="D4" s="3"/>
      <c r="E4" s="3"/>
      <c r="G4" s="3"/>
      <c r="H4" s="3"/>
      <c r="I4" s="6" t="s">
        <v>26</v>
      </c>
      <c r="J4" s="52">
        <v>90</v>
      </c>
      <c r="K4" s="52" t="s">
        <v>5</v>
      </c>
    </row>
    <row r="5" spans="2:8" ht="16.5" customHeight="1">
      <c r="B5" s="3"/>
      <c r="C5" s="3"/>
      <c r="D5" s="3"/>
      <c r="E5" s="3"/>
      <c r="F5" s="3"/>
      <c r="G5" s="3"/>
      <c r="H5" s="3"/>
    </row>
    <row r="6" spans="2:31" ht="16.5" customHeight="1">
      <c r="B6" s="42" t="s">
        <v>0</v>
      </c>
      <c r="C6" s="43"/>
      <c r="D6" s="42" t="s">
        <v>1</v>
      </c>
      <c r="E6" s="44"/>
      <c r="F6" s="44"/>
      <c r="G6" s="45" t="s">
        <v>2</v>
      </c>
      <c r="H6" s="44"/>
      <c r="I6" s="43"/>
      <c r="J6" s="8"/>
      <c r="K6" s="45" t="s">
        <v>10</v>
      </c>
      <c r="L6" s="56"/>
      <c r="M6" s="57"/>
      <c r="P6" s="19"/>
      <c r="Q6" s="5" t="s">
        <v>9</v>
      </c>
      <c r="R6" s="27">
        <f>B4</f>
        <v>14.5</v>
      </c>
      <c r="S6" s="17"/>
      <c r="T6" s="17"/>
      <c r="U6" s="17"/>
      <c r="V6" s="17"/>
      <c r="W6" s="17"/>
      <c r="X6" s="4" t="s">
        <v>24</v>
      </c>
      <c r="Y6" s="17"/>
      <c r="Z6" s="17"/>
      <c r="AA6" s="17"/>
      <c r="AB6" s="17"/>
      <c r="AC6" s="17"/>
      <c r="AD6" s="18"/>
      <c r="AE6" s="84" t="s">
        <v>60</v>
      </c>
    </row>
    <row r="7" spans="1:30" ht="16.5" customHeight="1">
      <c r="A7" s="50" t="s">
        <v>27</v>
      </c>
      <c r="B7" s="28">
        <f>$R$8</f>
        <v>15.225000000000001</v>
      </c>
      <c r="C7" s="29" t="s">
        <v>6</v>
      </c>
      <c r="D7" s="32">
        <f>(F7/60+H7/3600)*B7*1000</f>
        <v>126.87500000000001</v>
      </c>
      <c r="E7" s="29" t="s">
        <v>8</v>
      </c>
      <c r="F7" s="29"/>
      <c r="G7" s="31" t="s">
        <v>4</v>
      </c>
      <c r="H7" s="46">
        <v>30</v>
      </c>
      <c r="I7" s="31" t="s">
        <v>5</v>
      </c>
      <c r="J7" s="61">
        <v>30</v>
      </c>
      <c r="K7" s="31" t="s">
        <v>5</v>
      </c>
      <c r="L7" s="32">
        <f aca="true" t="shared" si="0" ref="L7:L18">((J7/3600)*$R$16*1000)</f>
        <v>72.5</v>
      </c>
      <c r="M7" s="34" t="s">
        <v>8</v>
      </c>
      <c r="P7" s="19"/>
      <c r="Q7" s="5" t="s">
        <v>11</v>
      </c>
      <c r="R7" s="5" t="s">
        <v>12</v>
      </c>
      <c r="S7" s="17"/>
      <c r="T7" s="17"/>
      <c r="U7" s="17" t="s">
        <v>11</v>
      </c>
      <c r="V7" s="4"/>
      <c r="W7" s="17"/>
      <c r="X7" s="18"/>
      <c r="Y7" s="16"/>
      <c r="Z7" s="17"/>
      <c r="AA7" s="4" t="s">
        <v>12</v>
      </c>
      <c r="AB7" s="17"/>
      <c r="AC7" s="17"/>
      <c r="AD7" s="18"/>
    </row>
    <row r="8" spans="1:18" ht="16.5" customHeight="1">
      <c r="A8" s="51" t="s">
        <v>28</v>
      </c>
      <c r="B8" s="35">
        <f>$R$9</f>
        <v>14.5</v>
      </c>
      <c r="C8" s="36" t="s">
        <v>6</v>
      </c>
      <c r="D8" s="39">
        <f>(F8/60+H8/3600)*B8*1000</f>
        <v>120.83333333333333</v>
      </c>
      <c r="E8" s="36" t="s">
        <v>8</v>
      </c>
      <c r="F8" s="36"/>
      <c r="G8" s="38" t="s">
        <v>4</v>
      </c>
      <c r="H8" s="47">
        <v>30</v>
      </c>
      <c r="I8" s="38" t="s">
        <v>5</v>
      </c>
      <c r="J8" s="62">
        <v>30</v>
      </c>
      <c r="K8" s="38" t="s">
        <v>5</v>
      </c>
      <c r="L8" s="39">
        <f t="shared" si="0"/>
        <v>72.5</v>
      </c>
      <c r="M8" s="41" t="s">
        <v>8</v>
      </c>
      <c r="O8" s="6" t="s">
        <v>21</v>
      </c>
      <c r="P8" s="25">
        <v>1.05</v>
      </c>
      <c r="Q8" s="5"/>
      <c r="R8" s="5">
        <f>105/100*$R$6</f>
        <v>15.225000000000001</v>
      </c>
    </row>
    <row r="9" spans="1:18" ht="16.5" customHeight="1">
      <c r="A9" s="50" t="s">
        <v>27</v>
      </c>
      <c r="B9" s="28">
        <f>$R$8</f>
        <v>15.225000000000001</v>
      </c>
      <c r="C9" s="29" t="s">
        <v>6</v>
      </c>
      <c r="D9" s="30">
        <v>200</v>
      </c>
      <c r="E9" s="29" t="s">
        <v>8</v>
      </c>
      <c r="F9" s="29">
        <f aca="true" t="shared" si="1" ref="F9:F18">INT((D9/1000/B9-INT(D9/1000/B9))*60)</f>
        <v>0</v>
      </c>
      <c r="G9" s="31" t="s">
        <v>4</v>
      </c>
      <c r="H9" s="32">
        <f aca="true" t="shared" si="2" ref="H9:H18">(((D9/1000/B9-INT(D9/1000/B9))*60)-INT((D9/1000/B9-INT(D9/1000/B9))*60))*60</f>
        <v>47.29064039408867</v>
      </c>
      <c r="I9" s="31" t="s">
        <v>5</v>
      </c>
      <c r="J9" s="33">
        <f>60*F9+H9-$J$2</f>
        <v>45.29064039408867</v>
      </c>
      <c r="K9" s="31" t="s">
        <v>5</v>
      </c>
      <c r="L9" s="32">
        <f t="shared" si="0"/>
        <v>109.45238095238093</v>
      </c>
      <c r="M9" s="34" t="s">
        <v>8</v>
      </c>
      <c r="O9" s="6" t="s">
        <v>22</v>
      </c>
      <c r="P9" s="25">
        <v>1</v>
      </c>
      <c r="Q9" s="5"/>
      <c r="R9" s="5">
        <f>$R$6</f>
        <v>14.5</v>
      </c>
    </row>
    <row r="10" spans="1:18" ht="16.5" customHeight="1">
      <c r="A10" s="51" t="s">
        <v>28</v>
      </c>
      <c r="B10" s="35">
        <f>$R$9</f>
        <v>14.5</v>
      </c>
      <c r="C10" s="36" t="s">
        <v>6</v>
      </c>
      <c r="D10" s="37">
        <v>200</v>
      </c>
      <c r="E10" s="36" t="s">
        <v>8</v>
      </c>
      <c r="F10" s="36">
        <f t="shared" si="1"/>
        <v>0</v>
      </c>
      <c r="G10" s="38" t="s">
        <v>4</v>
      </c>
      <c r="H10" s="39">
        <f t="shared" si="2"/>
        <v>49.65517241379311</v>
      </c>
      <c r="I10" s="38" t="s">
        <v>5</v>
      </c>
      <c r="J10" s="40">
        <f>60*F10+H10-$J$2</f>
        <v>47.65517241379311</v>
      </c>
      <c r="K10" s="38" t="s">
        <v>5</v>
      </c>
      <c r="L10" s="39">
        <f t="shared" si="0"/>
        <v>115.16666666666667</v>
      </c>
      <c r="M10" s="41" t="s">
        <v>8</v>
      </c>
      <c r="P10" s="25" t="s">
        <v>18</v>
      </c>
      <c r="Q10" s="5">
        <f>95/100*$R$6</f>
        <v>13.774999999999999</v>
      </c>
      <c r="R10" s="5">
        <f>$R$6</f>
        <v>14.5</v>
      </c>
    </row>
    <row r="11" spans="1:18" ht="16.5" customHeight="1">
      <c r="A11" s="58" t="s">
        <v>27</v>
      </c>
      <c r="B11" s="10">
        <f>$R$8</f>
        <v>15.225000000000001</v>
      </c>
      <c r="C11" s="11" t="s">
        <v>6</v>
      </c>
      <c r="D11" s="15">
        <v>300</v>
      </c>
      <c r="E11" s="11" t="s">
        <v>8</v>
      </c>
      <c r="F11" s="11">
        <f t="shared" si="1"/>
        <v>1</v>
      </c>
      <c r="G11" s="12" t="s">
        <v>4</v>
      </c>
      <c r="H11" s="13">
        <f t="shared" si="2"/>
        <v>10.935960591132998</v>
      </c>
      <c r="I11" s="12" t="s">
        <v>5</v>
      </c>
      <c r="J11" s="14">
        <f>60*F11+H11-$J$2</f>
        <v>68.935960591133</v>
      </c>
      <c r="K11" s="12" t="s">
        <v>5</v>
      </c>
      <c r="L11" s="13">
        <f t="shared" si="0"/>
        <v>166.59523809523805</v>
      </c>
      <c r="M11" s="59" t="s">
        <v>8</v>
      </c>
      <c r="P11" s="25" t="s">
        <v>17</v>
      </c>
      <c r="Q11" s="5">
        <f>90/100*$R$6</f>
        <v>13.05</v>
      </c>
      <c r="R11" s="5">
        <f>95/100*$R$6</f>
        <v>13.774999999999999</v>
      </c>
    </row>
    <row r="12" spans="1:31" ht="16.5" customHeight="1">
      <c r="A12" s="60" t="s">
        <v>28</v>
      </c>
      <c r="B12" s="10">
        <f>$R$9</f>
        <v>14.5</v>
      </c>
      <c r="C12" s="11" t="s">
        <v>6</v>
      </c>
      <c r="D12" s="15">
        <v>300</v>
      </c>
      <c r="E12" s="11" t="s">
        <v>8</v>
      </c>
      <c r="F12" s="11">
        <f t="shared" si="1"/>
        <v>1</v>
      </c>
      <c r="G12" s="12" t="s">
        <v>4</v>
      </c>
      <c r="H12" s="13">
        <f t="shared" si="2"/>
        <v>14.482758620689658</v>
      </c>
      <c r="I12" s="12" t="s">
        <v>5</v>
      </c>
      <c r="J12" s="14">
        <f>60*F12+H12-$J$2</f>
        <v>72.48275862068965</v>
      </c>
      <c r="K12" s="12" t="s">
        <v>5</v>
      </c>
      <c r="L12" s="13">
        <f t="shared" si="0"/>
        <v>175.16666666666663</v>
      </c>
      <c r="M12" s="59" t="s">
        <v>8</v>
      </c>
      <c r="N12" s="6" t="s">
        <v>25</v>
      </c>
      <c r="O12" s="26">
        <v>10</v>
      </c>
      <c r="P12" s="25" t="s">
        <v>16</v>
      </c>
      <c r="Q12" s="5">
        <f>85/100*$R$6</f>
        <v>12.325</v>
      </c>
      <c r="R12" s="5">
        <f>90/100*$R$6</f>
        <v>13.05</v>
      </c>
      <c r="S12" s="21">
        <f>INT(O12/R12)</f>
        <v>0</v>
      </c>
      <c r="T12" s="21" t="s">
        <v>3</v>
      </c>
      <c r="U12" s="21">
        <f>INT((O12/R12-INT(O12/R12))*60)</f>
        <v>45</v>
      </c>
      <c r="V12" s="22" t="s">
        <v>4</v>
      </c>
      <c r="W12" s="23">
        <f>(((O12/R12-INT(O12/R12))*60)-INT((O12/R12-INT(O12/R12))*60))*60</f>
        <v>58.62068965517224</v>
      </c>
      <c r="X12" s="24" t="s">
        <v>5</v>
      </c>
      <c r="Y12" s="20">
        <f>INT(O12/Q12)</f>
        <v>0</v>
      </c>
      <c r="Z12" s="21" t="s">
        <v>3</v>
      </c>
      <c r="AA12" s="21">
        <f>INT((O12/Q12-INT(O12/Q12))*60)</f>
        <v>48</v>
      </c>
      <c r="AB12" s="22" t="s">
        <v>4</v>
      </c>
      <c r="AC12" s="23">
        <f>(((O12/Q12-INT(O12/Q12))*60)-INT((O12/Q12-INT(O12/Q12))*60))*60</f>
        <v>40.89249492900663</v>
      </c>
      <c r="AD12" s="24" t="s">
        <v>5</v>
      </c>
      <c r="AE12" s="84"/>
    </row>
    <row r="13" spans="1:31" ht="16.5" customHeight="1">
      <c r="A13" s="48">
        <v>1</v>
      </c>
      <c r="B13" s="28">
        <f>$R$9</f>
        <v>14.5</v>
      </c>
      <c r="C13" s="29" t="s">
        <v>6</v>
      </c>
      <c r="D13" s="30">
        <v>400</v>
      </c>
      <c r="E13" s="29" t="s">
        <v>8</v>
      </c>
      <c r="F13" s="29">
        <f t="shared" si="1"/>
        <v>1</v>
      </c>
      <c r="G13" s="31" t="s">
        <v>4</v>
      </c>
      <c r="H13" s="32">
        <f t="shared" si="2"/>
        <v>39.31034482758622</v>
      </c>
      <c r="I13" s="31" t="s">
        <v>5</v>
      </c>
      <c r="J13" s="33">
        <f>$J$3</f>
        <v>60</v>
      </c>
      <c r="K13" s="31" t="s">
        <v>5</v>
      </c>
      <c r="L13" s="32">
        <f t="shared" si="0"/>
        <v>145</v>
      </c>
      <c r="M13" s="34" t="s">
        <v>8</v>
      </c>
      <c r="N13" s="6" t="s">
        <v>25</v>
      </c>
      <c r="O13" s="26">
        <v>21.1</v>
      </c>
      <c r="P13" s="25" t="s">
        <v>15</v>
      </c>
      <c r="Q13" s="5">
        <f>80/100*$R$6</f>
        <v>11.600000000000001</v>
      </c>
      <c r="R13" s="5">
        <f>85/100*$R$6</f>
        <v>12.325</v>
      </c>
      <c r="S13" s="21">
        <f>INT(O13/R13)</f>
        <v>1</v>
      </c>
      <c r="T13" s="21" t="s">
        <v>3</v>
      </c>
      <c r="U13" s="21">
        <f>INT((O13/R13-INT(O13/R13))*60)</f>
        <v>42</v>
      </c>
      <c r="V13" s="22" t="s">
        <v>4</v>
      </c>
      <c r="W13" s="23">
        <f>(((O13/R13-INT(O13/R13))*60)-INT((O13/R13-INT(O13/R13))*60))*60</f>
        <v>43.08316430020341</v>
      </c>
      <c r="X13" s="24" t="s">
        <v>5</v>
      </c>
      <c r="Y13" s="20">
        <f>INT(O13/Q13)</f>
        <v>1</v>
      </c>
      <c r="Z13" s="21" t="s">
        <v>3</v>
      </c>
      <c r="AA13" s="21">
        <f>INT((O13/Q13-INT(O13/Q13))*60)</f>
        <v>49</v>
      </c>
      <c r="AB13" s="22" t="s">
        <v>4</v>
      </c>
      <c r="AC13" s="23">
        <f>(((O13/Q13-INT(O13/Q13))*60)-INT((O13/Q13-INT(O13/Q13))*60))*60</f>
        <v>8.275862068965267</v>
      </c>
      <c r="AD13" s="24" t="s">
        <v>5</v>
      </c>
      <c r="AE13" s="84"/>
    </row>
    <row r="14" spans="1:31" ht="16.5" customHeight="1">
      <c r="A14" s="49">
        <v>0.95</v>
      </c>
      <c r="B14" s="35">
        <f>$Q$10</f>
        <v>13.774999999999999</v>
      </c>
      <c r="C14" s="36" t="s">
        <v>6</v>
      </c>
      <c r="D14" s="37">
        <v>400</v>
      </c>
      <c r="E14" s="36" t="s">
        <v>8</v>
      </c>
      <c r="F14" s="36">
        <f t="shared" si="1"/>
        <v>1</v>
      </c>
      <c r="G14" s="38" t="s">
        <v>4</v>
      </c>
      <c r="H14" s="39">
        <f t="shared" si="2"/>
        <v>44.53720508166972</v>
      </c>
      <c r="I14" s="38" t="s">
        <v>5</v>
      </c>
      <c r="J14" s="40">
        <f>$J$3</f>
        <v>60</v>
      </c>
      <c r="K14" s="38" t="s">
        <v>5</v>
      </c>
      <c r="L14" s="39">
        <f t="shared" si="0"/>
        <v>145</v>
      </c>
      <c r="M14" s="41" t="s">
        <v>8</v>
      </c>
      <c r="N14" s="6" t="s">
        <v>25</v>
      </c>
      <c r="O14" s="26">
        <v>42.195</v>
      </c>
      <c r="P14" s="25" t="s">
        <v>14</v>
      </c>
      <c r="Q14" s="5">
        <f>75/100*$R$6</f>
        <v>10.875</v>
      </c>
      <c r="R14" s="5">
        <f>80/100*$R$6</f>
        <v>11.600000000000001</v>
      </c>
      <c r="S14" s="21">
        <f>INT(O14/R14)</f>
        <v>3</v>
      </c>
      <c r="T14" s="21" t="s">
        <v>3</v>
      </c>
      <c r="U14" s="21">
        <f>INT((O14/R14-INT(O14/R14))*60)</f>
        <v>38</v>
      </c>
      <c r="V14" s="22" t="s">
        <v>4</v>
      </c>
      <c r="W14" s="23">
        <f>(((O14/R14-INT(O14/R14))*60)-INT((O14/R14-INT(O14/R14))*60))*60</f>
        <v>14.999999999999147</v>
      </c>
      <c r="X14" s="24" t="s">
        <v>5</v>
      </c>
      <c r="Y14" s="20">
        <f>INT(O14/Q14)</f>
        <v>3</v>
      </c>
      <c r="Z14" s="21" t="s">
        <v>3</v>
      </c>
      <c r="AA14" s="21">
        <f>INT((O14/Q14-INT(O14/Q14))*60)</f>
        <v>52</v>
      </c>
      <c r="AB14" s="22" t="s">
        <v>4</v>
      </c>
      <c r="AC14" s="23">
        <f>(((O14/Q14-INT(O14/Q14))*60)-INT((O14/Q14-INT(O14/Q14))*60))*60</f>
        <v>47.99999999999983</v>
      </c>
      <c r="AD14" s="24" t="s">
        <v>5</v>
      </c>
      <c r="AE14" s="84"/>
    </row>
    <row r="15" spans="1:18" ht="16.5" customHeight="1">
      <c r="A15" s="48">
        <v>1</v>
      </c>
      <c r="B15" s="28">
        <f>$R$9</f>
        <v>14.5</v>
      </c>
      <c r="C15" s="11" t="s">
        <v>6</v>
      </c>
      <c r="D15" s="15">
        <v>500</v>
      </c>
      <c r="E15" s="11" t="s">
        <v>8</v>
      </c>
      <c r="F15" s="11">
        <f t="shared" si="1"/>
        <v>2</v>
      </c>
      <c r="G15" s="12" t="s">
        <v>4</v>
      </c>
      <c r="H15" s="13">
        <f t="shared" si="2"/>
        <v>4.137931034482767</v>
      </c>
      <c r="I15" s="12" t="s">
        <v>5</v>
      </c>
      <c r="J15" s="14">
        <f>$J$4</f>
        <v>90</v>
      </c>
      <c r="K15" s="12" t="s">
        <v>5</v>
      </c>
      <c r="L15" s="13">
        <f t="shared" si="0"/>
        <v>217.5</v>
      </c>
      <c r="M15" s="59" t="s">
        <v>8</v>
      </c>
      <c r="N15" s="6"/>
      <c r="O15" s="6" t="s">
        <v>20</v>
      </c>
      <c r="P15" s="25" t="s">
        <v>13</v>
      </c>
      <c r="Q15" s="5">
        <f>70/100*$R$6</f>
        <v>10.149999999999999</v>
      </c>
      <c r="R15" s="5">
        <f>75/100*$R$6</f>
        <v>10.875</v>
      </c>
    </row>
    <row r="16" spans="1:18" ht="16.5" customHeight="1">
      <c r="A16" s="49">
        <v>0.95</v>
      </c>
      <c r="B16" s="35">
        <f>$Q$10</f>
        <v>13.774999999999999</v>
      </c>
      <c r="C16" s="11" t="s">
        <v>6</v>
      </c>
      <c r="D16" s="15">
        <v>500</v>
      </c>
      <c r="E16" s="11" t="s">
        <v>8</v>
      </c>
      <c r="F16" s="11">
        <f t="shared" si="1"/>
        <v>2</v>
      </c>
      <c r="G16" s="12" t="s">
        <v>4</v>
      </c>
      <c r="H16" s="13">
        <f t="shared" si="2"/>
        <v>10.67150635208713</v>
      </c>
      <c r="I16" s="12" t="s">
        <v>5</v>
      </c>
      <c r="J16" s="14">
        <f>$J$4</f>
        <v>90</v>
      </c>
      <c r="K16" s="12" t="s">
        <v>5</v>
      </c>
      <c r="L16" s="13">
        <f t="shared" si="0"/>
        <v>217.5</v>
      </c>
      <c r="M16" s="59" t="s">
        <v>8</v>
      </c>
      <c r="N16" s="6"/>
      <c r="O16" s="6" t="s">
        <v>19</v>
      </c>
      <c r="P16" s="25">
        <v>0.6</v>
      </c>
      <c r="Q16" s="5"/>
      <c r="R16" s="5">
        <f>60/100*$R$6</f>
        <v>8.7</v>
      </c>
    </row>
    <row r="17" spans="1:18" ht="16.5" customHeight="1">
      <c r="A17" s="48">
        <v>1</v>
      </c>
      <c r="B17" s="28">
        <f>$R$9</f>
        <v>14.5</v>
      </c>
      <c r="C17" s="29" t="s">
        <v>6</v>
      </c>
      <c r="D17" s="30">
        <v>600</v>
      </c>
      <c r="E17" s="29" t="s">
        <v>8</v>
      </c>
      <c r="F17" s="29">
        <f t="shared" si="1"/>
        <v>2</v>
      </c>
      <c r="G17" s="31" t="s">
        <v>4</v>
      </c>
      <c r="H17" s="32">
        <f>(((D17/1000/B17-INT(D17/1000/B17))*60)-INT((D17/1000/B17-INT(D17/1000/B17))*60))*60</f>
        <v>28.965517241379317</v>
      </c>
      <c r="I17" s="31" t="s">
        <v>5</v>
      </c>
      <c r="J17" s="33">
        <f>$J$4</f>
        <v>90</v>
      </c>
      <c r="K17" s="31" t="s">
        <v>5</v>
      </c>
      <c r="L17" s="32">
        <f t="shared" si="0"/>
        <v>217.5</v>
      </c>
      <c r="M17" s="34" t="s">
        <v>8</v>
      </c>
      <c r="N17" s="6"/>
      <c r="O17" s="26"/>
      <c r="P17" s="92"/>
      <c r="Q17" s="93"/>
      <c r="R17" s="93"/>
    </row>
    <row r="18" spans="1:18" ht="16.5" customHeight="1">
      <c r="A18" s="49">
        <v>0.95</v>
      </c>
      <c r="B18" s="35">
        <f>$Q$10</f>
        <v>13.774999999999999</v>
      </c>
      <c r="C18" s="36" t="s">
        <v>6</v>
      </c>
      <c r="D18" s="37">
        <v>600</v>
      </c>
      <c r="E18" s="36" t="s">
        <v>8</v>
      </c>
      <c r="F18" s="36">
        <f t="shared" si="1"/>
        <v>2</v>
      </c>
      <c r="G18" s="38" t="s">
        <v>4</v>
      </c>
      <c r="H18" s="39">
        <f t="shared" si="2"/>
        <v>36.80580762250456</v>
      </c>
      <c r="I18" s="38" t="s">
        <v>5</v>
      </c>
      <c r="J18" s="40">
        <f>$J$4</f>
        <v>90</v>
      </c>
      <c r="K18" s="38" t="s">
        <v>5</v>
      </c>
      <c r="L18" s="39">
        <f t="shared" si="0"/>
        <v>217.5</v>
      </c>
      <c r="M18" s="41" t="s">
        <v>8</v>
      </c>
      <c r="P18" s="92"/>
      <c r="Q18" s="93"/>
      <c r="R18" s="93"/>
    </row>
    <row r="19" spans="1:18" ht="16.5" customHeight="1">
      <c r="A19" s="9"/>
      <c r="B19" s="10"/>
      <c r="C19" s="11"/>
      <c r="D19" s="11"/>
      <c r="E19" s="11"/>
      <c r="F19" s="11"/>
      <c r="G19" s="12"/>
      <c r="H19" s="13"/>
      <c r="I19" s="12"/>
      <c r="J19" s="14"/>
      <c r="K19" s="12"/>
      <c r="L19" s="13"/>
      <c r="M19" s="11"/>
      <c r="P19" s="92"/>
      <c r="Q19" s="93"/>
      <c r="R19" s="93"/>
    </row>
    <row r="20" spans="1:13" ht="16.5" customHeight="1">
      <c r="A20" s="87" t="s">
        <v>61</v>
      </c>
      <c r="B20" s="88">
        <v>12.8</v>
      </c>
      <c r="C20" s="21"/>
      <c r="D20" s="89">
        <v>1000</v>
      </c>
      <c r="E20" s="21" t="s">
        <v>8</v>
      </c>
      <c r="F20" s="21">
        <f>INT((D20/1000/B20-INT(D20/1000/B20))*60)</f>
        <v>4</v>
      </c>
      <c r="G20" s="22" t="s">
        <v>4</v>
      </c>
      <c r="H20" s="23">
        <f>(((D20/1000/B20-INT(D20/1000/B20))*60)-INT((D20/1000/B20-INT(D20/1000/B20))*60))*60</f>
        <v>41.25</v>
      </c>
      <c r="I20" s="22" t="s">
        <v>5</v>
      </c>
      <c r="J20" s="90">
        <f>$J$4</f>
        <v>90</v>
      </c>
      <c r="K20" s="22" t="s">
        <v>5</v>
      </c>
      <c r="L20" s="23">
        <f>((J20/3600)*$R$16*1000)</f>
        <v>217.5</v>
      </c>
      <c r="M20" s="91" t="s">
        <v>8</v>
      </c>
    </row>
    <row r="21" spans="1:24" ht="16.5" customHeight="1">
      <c r="A21" s="87" t="s">
        <v>62</v>
      </c>
      <c r="B21" s="88">
        <v>15.2</v>
      </c>
      <c r="C21" s="21"/>
      <c r="D21" s="89">
        <v>3000</v>
      </c>
      <c r="E21" s="21" t="s">
        <v>8</v>
      </c>
      <c r="F21" s="21">
        <f>INT((D21/1000/B21-INT(D21/1000/B21))*60)</f>
        <v>11</v>
      </c>
      <c r="G21" s="22" t="s">
        <v>4</v>
      </c>
      <c r="H21" s="23">
        <f>(((D21/1000/B21-INT(D21/1000/B21))*60)-INT((D21/1000/B21-INT(D21/1000/B21))*60))*60</f>
        <v>50.526315789473735</v>
      </c>
      <c r="I21" s="22" t="s">
        <v>5</v>
      </c>
      <c r="J21" s="90">
        <f>$J$4*2.5</f>
        <v>225</v>
      </c>
      <c r="K21" s="22" t="s">
        <v>5</v>
      </c>
      <c r="L21" s="23">
        <f>((J21/3600)*$R$16*1000)</f>
        <v>543.75</v>
      </c>
      <c r="M21" s="91" t="s">
        <v>8</v>
      </c>
      <c r="S21" s="63"/>
      <c r="T21" s="64"/>
      <c r="U21" s="55" t="s">
        <v>56</v>
      </c>
      <c r="V21" s="64"/>
      <c r="W21" s="64"/>
      <c r="X21" s="65"/>
    </row>
    <row r="22" spans="1:24" ht="16.5" customHeight="1">
      <c r="A22" s="87" t="s">
        <v>63</v>
      </c>
      <c r="B22" s="88">
        <v>13.8</v>
      </c>
      <c r="C22" s="17"/>
      <c r="D22" s="89">
        <v>5000</v>
      </c>
      <c r="E22" s="21" t="s">
        <v>8</v>
      </c>
      <c r="F22" s="21">
        <f>INT((D22/1000/B22-INT(D22/1000/B22))*60)</f>
        <v>21</v>
      </c>
      <c r="G22" s="22" t="s">
        <v>4</v>
      </c>
      <c r="H22" s="23">
        <f>(((D22/1000/B22-INT(D22/1000/B22))*60)-INT((D22/1000/B22-INT(D22/1000/B22))*60))*60</f>
        <v>44.34782608695656</v>
      </c>
      <c r="I22" s="22" t="s">
        <v>5</v>
      </c>
      <c r="J22" s="90">
        <f>$J$4*2.5</f>
        <v>225</v>
      </c>
      <c r="K22" s="22" t="s">
        <v>5</v>
      </c>
      <c r="L22" s="23">
        <f>((J22/3600)*$R$16*1000)</f>
        <v>543.75</v>
      </c>
      <c r="M22" s="91" t="s">
        <v>8</v>
      </c>
      <c r="S22" s="70" t="s">
        <v>3</v>
      </c>
      <c r="T22" s="71"/>
      <c r="U22" s="70" t="s">
        <v>11</v>
      </c>
      <c r="V22" s="71"/>
      <c r="W22" s="72" t="s">
        <v>57</v>
      </c>
      <c r="X22" s="71"/>
    </row>
    <row r="23" spans="1:24" ht="12.75">
      <c r="A23" s="9"/>
      <c r="B23" s="10"/>
      <c r="P23" t="s">
        <v>58</v>
      </c>
      <c r="Q23" s="78">
        <v>16</v>
      </c>
      <c r="S23" s="79">
        <v>0</v>
      </c>
      <c r="T23" s="34" t="s">
        <v>3</v>
      </c>
      <c r="U23" s="79">
        <v>0</v>
      </c>
      <c r="V23" s="67" t="s">
        <v>4</v>
      </c>
      <c r="W23" s="82">
        <f>H9*Q23</f>
        <v>756.6502463054187</v>
      </c>
      <c r="X23" s="67" t="s">
        <v>5</v>
      </c>
    </row>
    <row r="24" spans="19:24" ht="12.75">
      <c r="S24" s="80">
        <v>0</v>
      </c>
      <c r="T24" s="59" t="s">
        <v>3</v>
      </c>
      <c r="U24" s="80">
        <v>0</v>
      </c>
      <c r="V24" s="68" t="s">
        <v>4</v>
      </c>
      <c r="W24" s="83">
        <f>J9*Q23</f>
        <v>724.6502463054187</v>
      </c>
      <c r="X24" s="68" t="s">
        <v>5</v>
      </c>
    </row>
    <row r="25" spans="19:24" ht="12.75">
      <c r="S25" s="80"/>
      <c r="T25" s="59" t="s">
        <v>3</v>
      </c>
      <c r="U25" s="80">
        <v>3</v>
      </c>
      <c r="V25" s="68" t="s">
        <v>4</v>
      </c>
      <c r="W25" s="83"/>
      <c r="X25" s="68" t="s">
        <v>5</v>
      </c>
    </row>
    <row r="26" spans="19:24" ht="13.5" thickBot="1">
      <c r="S26" s="80"/>
      <c r="T26" s="59" t="s">
        <v>3</v>
      </c>
      <c r="U26" s="80"/>
      <c r="V26" s="68" t="s">
        <v>4</v>
      </c>
      <c r="W26" s="83"/>
      <c r="X26" s="68" t="s">
        <v>5</v>
      </c>
    </row>
    <row r="27" spans="2:24" ht="13.5" thickBot="1">
      <c r="B27" s="121" t="s">
        <v>0</v>
      </c>
      <c r="C27" s="122"/>
      <c r="D27" s="121" t="s">
        <v>1</v>
      </c>
      <c r="E27" s="122"/>
      <c r="F27" s="123" t="s">
        <v>2</v>
      </c>
      <c r="G27" s="123"/>
      <c r="H27" s="123"/>
      <c r="I27" s="123"/>
      <c r="J27" s="123"/>
      <c r="K27" s="122"/>
      <c r="S27" s="80"/>
      <c r="T27" s="59" t="s">
        <v>3</v>
      </c>
      <c r="U27" s="80"/>
      <c r="V27" s="68" t="s">
        <v>4</v>
      </c>
      <c r="W27" s="83"/>
      <c r="X27" s="68" t="s">
        <v>5</v>
      </c>
    </row>
    <row r="28" spans="2:24" ht="12.75">
      <c r="B28" s="94">
        <v>13</v>
      </c>
      <c r="C28" s="1" t="s">
        <v>6</v>
      </c>
      <c r="D28" s="95">
        <v>1000</v>
      </c>
      <c r="E28" s="1" t="s">
        <v>8</v>
      </c>
      <c r="F28" s="96"/>
      <c r="G28" s="97"/>
      <c r="H28" s="97">
        <f>INT((D28/1000/B28-INT(D28/1000/B28))*60)</f>
        <v>4</v>
      </c>
      <c r="I28" s="98" t="s">
        <v>4</v>
      </c>
      <c r="J28" s="99">
        <f>(((D28/1000/B28-INT(D28/1000/B28))*60)-INT((D28/1000/B28-INT(D28/1000/B28))*60))*60</f>
        <v>36.92307692307695</v>
      </c>
      <c r="K28" s="100" t="s">
        <v>5</v>
      </c>
      <c r="S28" s="80"/>
      <c r="T28" s="59" t="s">
        <v>3</v>
      </c>
      <c r="U28" s="80"/>
      <c r="V28" s="68" t="s">
        <v>4</v>
      </c>
      <c r="W28" s="83"/>
      <c r="X28" s="68" t="s">
        <v>5</v>
      </c>
    </row>
    <row r="29" spans="2:24" ht="12.75">
      <c r="B29" s="94">
        <v>10</v>
      </c>
      <c r="C29" s="1" t="s">
        <v>6</v>
      </c>
      <c r="D29" s="111">
        <f>(F29+H29/60+J29/3600)*B29*1000</f>
        <v>6366.666666666666</v>
      </c>
      <c r="E29" s="85" t="s">
        <v>8</v>
      </c>
      <c r="F29" s="95"/>
      <c r="G29" s="101"/>
      <c r="H29" s="101">
        <v>38</v>
      </c>
      <c r="I29" s="102" t="s">
        <v>4</v>
      </c>
      <c r="J29" s="103">
        <v>12</v>
      </c>
      <c r="K29" s="104" t="s">
        <v>5</v>
      </c>
      <c r="S29" s="80"/>
      <c r="T29" s="59" t="s">
        <v>3</v>
      </c>
      <c r="U29" s="80"/>
      <c r="V29" s="68" t="s">
        <v>4</v>
      </c>
      <c r="W29" s="83"/>
      <c r="X29" s="68" t="s">
        <v>5</v>
      </c>
    </row>
    <row r="30" spans="2:24" ht="13.5" thickBot="1">
      <c r="B30" s="110">
        <f>D30/(F30+H30/60+J30/3600)/1000</f>
        <v>12.857142857142858</v>
      </c>
      <c r="C30" s="86" t="s">
        <v>6</v>
      </c>
      <c r="D30" s="105">
        <v>1000</v>
      </c>
      <c r="E30" s="2" t="s">
        <v>8</v>
      </c>
      <c r="F30" s="105"/>
      <c r="G30" s="106"/>
      <c r="H30" s="106">
        <v>4</v>
      </c>
      <c r="I30" s="107" t="s">
        <v>4</v>
      </c>
      <c r="J30" s="108">
        <v>40</v>
      </c>
      <c r="K30" s="109" t="s">
        <v>5</v>
      </c>
      <c r="S30" s="80"/>
      <c r="T30" s="59" t="s">
        <v>3</v>
      </c>
      <c r="U30" s="80"/>
      <c r="V30" s="68" t="s">
        <v>4</v>
      </c>
      <c r="W30" s="83"/>
      <c r="X30" s="68" t="s">
        <v>5</v>
      </c>
    </row>
    <row r="31" spans="19:24" ht="12.75">
      <c r="S31" s="80"/>
      <c r="T31" s="59" t="s">
        <v>3</v>
      </c>
      <c r="U31" s="80"/>
      <c r="V31" s="68" t="s">
        <v>4</v>
      </c>
      <c r="W31" s="83"/>
      <c r="X31" s="68" t="s">
        <v>5</v>
      </c>
    </row>
    <row r="32" spans="19:24" ht="12.75">
      <c r="S32" s="80"/>
      <c r="T32" s="59" t="s">
        <v>3</v>
      </c>
      <c r="U32" s="80"/>
      <c r="V32" s="68" t="s">
        <v>4</v>
      </c>
      <c r="W32" s="83"/>
      <c r="X32" s="68" t="s">
        <v>5</v>
      </c>
    </row>
    <row r="33" spans="19:24" ht="13.5" thickBot="1">
      <c r="S33" s="80"/>
      <c r="T33" s="59" t="s">
        <v>3</v>
      </c>
      <c r="U33" s="80"/>
      <c r="V33" s="68" t="s">
        <v>4</v>
      </c>
      <c r="W33" s="83"/>
      <c r="X33" s="68" t="s">
        <v>5</v>
      </c>
    </row>
    <row r="34" spans="2:24" ht="13.5" thickBot="1">
      <c r="B34" s="121" t="s">
        <v>0</v>
      </c>
      <c r="C34" s="122"/>
      <c r="D34" s="121" t="s">
        <v>1</v>
      </c>
      <c r="E34" s="122"/>
      <c r="F34" s="123" t="s">
        <v>2</v>
      </c>
      <c r="G34" s="123"/>
      <c r="H34" s="123"/>
      <c r="I34" s="123"/>
      <c r="J34" s="123"/>
      <c r="K34" s="122"/>
      <c r="S34" s="80"/>
      <c r="T34" s="59" t="s">
        <v>3</v>
      </c>
      <c r="U34" s="80"/>
      <c r="V34" s="68" t="s">
        <v>4</v>
      </c>
      <c r="W34" s="83"/>
      <c r="X34" s="68" t="s">
        <v>5</v>
      </c>
    </row>
    <row r="35" spans="2:24" ht="12.75">
      <c r="B35" s="94">
        <v>10.7</v>
      </c>
      <c r="C35" s="1" t="s">
        <v>6</v>
      </c>
      <c r="D35" s="95">
        <v>42.195</v>
      </c>
      <c r="E35" s="1" t="s">
        <v>7</v>
      </c>
      <c r="F35" s="96">
        <f>INT(D35/B35)</f>
        <v>3</v>
      </c>
      <c r="G35" s="97" t="s">
        <v>3</v>
      </c>
      <c r="H35" s="97">
        <f>INT((D35/B35-INT(D35/B35))*60)</f>
        <v>56</v>
      </c>
      <c r="I35" s="98" t="s">
        <v>4</v>
      </c>
      <c r="J35" s="99">
        <f>(((D35/B35-INT(D35/B35))*60)-INT((D35/B35-INT(D35/B35))*60))*60</f>
        <v>36.448598130842385</v>
      </c>
      <c r="K35" s="100" t="s">
        <v>5</v>
      </c>
      <c r="S35" s="80"/>
      <c r="T35" s="59" t="s">
        <v>3</v>
      </c>
      <c r="U35" s="80"/>
      <c r="V35" s="68" t="s">
        <v>4</v>
      </c>
      <c r="W35" s="83"/>
      <c r="X35" s="68" t="s">
        <v>5</v>
      </c>
    </row>
    <row r="36" spans="2:24" ht="12.75">
      <c r="B36" s="94">
        <v>10</v>
      </c>
      <c r="C36" s="1" t="s">
        <v>6</v>
      </c>
      <c r="D36" s="111">
        <f>(F36+H36/60+J36/3600)*B36</f>
        <v>7.5</v>
      </c>
      <c r="E36" s="85" t="s">
        <v>7</v>
      </c>
      <c r="F36" s="95">
        <v>0</v>
      </c>
      <c r="G36" s="101" t="s">
        <v>3</v>
      </c>
      <c r="H36" s="101">
        <v>45</v>
      </c>
      <c r="I36" s="102" t="s">
        <v>4</v>
      </c>
      <c r="J36" s="103">
        <v>0</v>
      </c>
      <c r="K36" s="104" t="s">
        <v>5</v>
      </c>
      <c r="S36" s="80"/>
      <c r="T36" s="59" t="s">
        <v>3</v>
      </c>
      <c r="U36" s="80"/>
      <c r="V36" s="68" t="s">
        <v>4</v>
      </c>
      <c r="W36" s="83"/>
      <c r="X36" s="68" t="s">
        <v>5</v>
      </c>
    </row>
    <row r="37" spans="2:24" ht="13.5" thickBot="1">
      <c r="B37" s="110">
        <f>D37/(F37+H37/60+J37/3600)</f>
        <v>10.54875</v>
      </c>
      <c r="C37" s="86" t="s">
        <v>6</v>
      </c>
      <c r="D37" s="105">
        <v>42.195</v>
      </c>
      <c r="E37" s="2" t="s">
        <v>7</v>
      </c>
      <c r="F37" s="105">
        <v>4</v>
      </c>
      <c r="G37" s="106" t="s">
        <v>3</v>
      </c>
      <c r="H37" s="106"/>
      <c r="I37" s="107" t="s">
        <v>4</v>
      </c>
      <c r="J37" s="108"/>
      <c r="K37" s="109" t="s">
        <v>5</v>
      </c>
      <c r="S37" s="81"/>
      <c r="T37" s="41" t="s">
        <v>3</v>
      </c>
      <c r="U37" s="81"/>
      <c r="V37" s="69" t="s">
        <v>4</v>
      </c>
      <c r="W37" s="81"/>
      <c r="X37" s="69" t="s">
        <v>5</v>
      </c>
    </row>
    <row r="38" spans="19:24" ht="12.75">
      <c r="S38" s="66">
        <f>INT(SUM(S23:S37)+SUM(U23:U37)/60+SUM(W23:W37)/3600)</f>
        <v>0</v>
      </c>
      <c r="T38" s="21" t="s">
        <v>3</v>
      </c>
      <c r="U38" s="66">
        <f>INT(60*(SUM(S23:S37)+SUM(U23:U37)/60+SUM(W23:W37)/3600-S38))</f>
        <v>27</v>
      </c>
      <c r="V38" s="24" t="s">
        <v>4</v>
      </c>
      <c r="W38" s="66">
        <f>(60*(SUM(S23:S37)+SUM(U23:U37)/60+SUM(W23:W37)/3600-S38)-U38)*60</f>
        <v>41.30049261083741</v>
      </c>
      <c r="X38" s="24" t="s">
        <v>5</v>
      </c>
    </row>
    <row r="40" spans="32:33" ht="12.75">
      <c r="AF40" s="19"/>
      <c r="AG40" s="19"/>
    </row>
    <row r="43" spans="30:31" ht="12.75">
      <c r="AD43" s="19"/>
      <c r="AE43" s="19"/>
    </row>
    <row r="46" ht="12.75">
      <c r="AD46" s="7"/>
    </row>
  </sheetData>
  <sheetProtection/>
  <mergeCells count="6">
    <mergeCell ref="B27:C27"/>
    <mergeCell ref="D27:E27"/>
    <mergeCell ref="F27:K27"/>
    <mergeCell ref="F34:K34"/>
    <mergeCell ref="B34:C34"/>
    <mergeCell ref="D34:E3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E23" sqref="E23"/>
    </sheetView>
  </sheetViews>
  <sheetFormatPr defaultColWidth="11.421875" defaultRowHeight="12.75"/>
  <sheetData>
    <row r="1" ht="12.75">
      <c r="A1" t="s">
        <v>72</v>
      </c>
    </row>
    <row r="2" spans="2:3" ht="12.75">
      <c r="B2" t="s">
        <v>67</v>
      </c>
      <c r="C2" t="s">
        <v>68</v>
      </c>
    </row>
    <row r="3" spans="1:3" ht="12.75">
      <c r="A3" s="113">
        <v>1.05</v>
      </c>
      <c r="B3" t="s">
        <v>64</v>
      </c>
      <c r="C3" t="s">
        <v>69</v>
      </c>
    </row>
    <row r="4" spans="1:3" ht="12.75">
      <c r="A4" s="113">
        <v>1</v>
      </c>
      <c r="B4" t="s">
        <v>65</v>
      </c>
      <c r="C4" t="s">
        <v>70</v>
      </c>
    </row>
    <row r="5" spans="1:2" ht="12.75">
      <c r="A5" s="113">
        <v>0.95</v>
      </c>
      <c r="B5" t="s">
        <v>66</v>
      </c>
    </row>
    <row r="8" ht="12.75">
      <c r="A8" t="s">
        <v>71</v>
      </c>
    </row>
    <row r="9" ht="12.75">
      <c r="C9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cedric.vaugeois</cp:lastModifiedBy>
  <cp:lastPrinted>2012-11-17T08:41:18Z</cp:lastPrinted>
  <dcterms:created xsi:type="dcterms:W3CDTF">2009-11-03T12:38:12Z</dcterms:created>
  <dcterms:modified xsi:type="dcterms:W3CDTF">2014-03-19T11:40:41Z</dcterms:modified>
  <cp:category/>
  <cp:version/>
  <cp:contentType/>
  <cp:contentStatus/>
</cp:coreProperties>
</file>